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005" yWindow="-15" windowWidth="15435" windowHeight="13710" activeTab="2"/>
  </bookViews>
  <sheets>
    <sheet name="P.ACCION A AGOSTO 2015" sheetId="4" r:id="rId1"/>
    <sheet name="P.ACCION A AGOSTO 2015 (2)" sheetId="5" r:id="rId2"/>
    <sheet name="P.ACCION-SUBSTEMA" sheetId="6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Print_Titles" localSheetId="0">'P.ACCION A AGOSTO 2015'!$C:$F,'P.ACCION A AGOSTO 2015'!$1:$3</definedName>
    <definedName name="_xlnm.Print_Titles" localSheetId="1">'P.ACCION A AGOSTO 2015 (2)'!$C:$F,'P.ACCION A AGOSTO 2015 (2)'!$1:$3</definedName>
    <definedName name="_xlnm.Print_Titles" localSheetId="2">'P.ACCION-SUBSTEMA'!$C:$F,'P.ACCION-SUBSTEMA'!$1:$3</definedName>
  </definedNames>
  <calcPr calcId="144525"/>
</workbook>
</file>

<file path=xl/calcChain.xml><?xml version="1.0" encoding="utf-8"?>
<calcChain xmlns="http://schemas.openxmlformats.org/spreadsheetml/2006/main">
  <c r="M271" i="6" l="1"/>
  <c r="M269" i="6"/>
  <c r="M268" i="6"/>
  <c r="M267" i="6"/>
  <c r="M270" i="6"/>
  <c r="M266" i="6"/>
  <c r="DQ198" i="6"/>
  <c r="DI198" i="6"/>
  <c r="DF198" i="6"/>
  <c r="DC198" i="6"/>
  <c r="CU198" i="6"/>
  <c r="CT198" i="6"/>
  <c r="CO198" i="6"/>
  <c r="CN198" i="6"/>
  <c r="CM198" i="6"/>
  <c r="CL198" i="6"/>
  <c r="CK198" i="6"/>
  <c r="CJ198" i="6"/>
  <c r="CI198" i="6"/>
  <c r="CH198" i="6"/>
  <c r="CG198" i="6"/>
  <c r="CF198" i="6"/>
  <c r="CE198" i="6"/>
  <c r="CD198" i="6"/>
  <c r="BX198" i="6"/>
  <c r="BN198" i="6"/>
  <c r="BK198" i="6"/>
  <c r="BI198" i="6"/>
  <c r="BC198" i="6"/>
  <c r="BB198" i="6"/>
  <c r="AW198" i="6"/>
  <c r="AV198" i="6"/>
  <c r="AU198" i="6"/>
  <c r="AT198" i="6"/>
  <c r="AS198" i="6"/>
  <c r="AR198" i="6"/>
  <c r="AQ198" i="6"/>
  <c r="AP198" i="6"/>
  <c r="AO198" i="6"/>
  <c r="AN198" i="6"/>
  <c r="AM198" i="6"/>
  <c r="AL198" i="6"/>
  <c r="AF198" i="6"/>
  <c r="AE198" i="6"/>
  <c r="AD198" i="6"/>
  <c r="AC198" i="6"/>
  <c r="AB198" i="6"/>
  <c r="Z198" i="6"/>
  <c r="Y198" i="6"/>
  <c r="X198" i="6"/>
  <c r="W198" i="6"/>
  <c r="V198" i="6"/>
  <c r="U198" i="6"/>
  <c r="T198" i="6"/>
  <c r="S198" i="6"/>
  <c r="R198" i="6"/>
  <c r="Q198" i="6"/>
  <c r="P198" i="6"/>
  <c r="N198" i="6"/>
  <c r="G198" i="6"/>
  <c r="AH197" i="6"/>
  <c r="AH199" i="6" s="1"/>
  <c r="DQ196" i="6"/>
  <c r="DI196" i="6"/>
  <c r="DF196" i="6"/>
  <c r="CY196" i="6"/>
  <c r="CU196" i="6"/>
  <c r="CT196" i="6"/>
  <c r="CS196" i="6"/>
  <c r="CR196" i="6"/>
  <c r="CP196" i="6"/>
  <c r="CN196" i="6"/>
  <c r="CM196" i="6"/>
  <c r="CL196" i="6"/>
  <c r="CK196" i="6"/>
  <c r="CJ196" i="6"/>
  <c r="CG196" i="6"/>
  <c r="CE196" i="6"/>
  <c r="CD196" i="6"/>
  <c r="CC196" i="6"/>
  <c r="BY196" i="6"/>
  <c r="BN196" i="6"/>
  <c r="BI196" i="6"/>
  <c r="BC196" i="6"/>
  <c r="BB196" i="6"/>
  <c r="BA196" i="6"/>
  <c r="AZ196" i="6"/>
  <c r="AX196" i="6"/>
  <c r="AV196" i="6"/>
  <c r="AU196" i="6"/>
  <c r="AT196" i="6"/>
  <c r="AS196" i="6"/>
  <c r="AR196" i="6"/>
  <c r="AO196" i="6"/>
  <c r="AM196" i="6"/>
  <c r="AL196" i="6"/>
  <c r="AK196" i="6"/>
  <c r="AF196" i="6"/>
  <c r="AE196" i="6"/>
  <c r="AD196" i="6"/>
  <c r="AC196" i="6"/>
  <c r="AA196" i="6"/>
  <c r="Y196" i="6"/>
  <c r="X196" i="6"/>
  <c r="W196" i="6"/>
  <c r="V196" i="6"/>
  <c r="U196" i="6"/>
  <c r="R196" i="6"/>
  <c r="P196" i="6"/>
  <c r="N196" i="6"/>
  <c r="G196" i="6"/>
  <c r="DI195" i="6"/>
  <c r="DF195" i="6"/>
  <c r="DA195" i="6"/>
  <c r="CU195" i="6"/>
  <c r="CT195" i="6"/>
  <c r="CS195" i="6"/>
  <c r="CO195" i="6"/>
  <c r="CN195" i="6"/>
  <c r="CM195" i="6"/>
  <c r="CL195" i="6"/>
  <c r="CK195" i="6"/>
  <c r="CJ195" i="6"/>
  <c r="CI195" i="6"/>
  <c r="CG195" i="6"/>
  <c r="CF195" i="6"/>
  <c r="CE195" i="6"/>
  <c r="CD195" i="6"/>
  <c r="CC195" i="6"/>
  <c r="BN195" i="6"/>
  <c r="BI195" i="6"/>
  <c r="BC195" i="6"/>
  <c r="BB195" i="6"/>
  <c r="BA195" i="6"/>
  <c r="AW195" i="6"/>
  <c r="AV195" i="6"/>
  <c r="AU195" i="6"/>
  <c r="AT195" i="6"/>
  <c r="AS195" i="6"/>
  <c r="AR195" i="6"/>
  <c r="AQ195" i="6"/>
  <c r="AO195" i="6"/>
  <c r="AN195" i="6"/>
  <c r="AM195" i="6"/>
  <c r="AL195" i="6"/>
  <c r="AK195" i="6"/>
  <c r="AF195" i="6"/>
  <c r="AE195" i="6"/>
  <c r="AD195" i="6"/>
  <c r="AC195" i="6"/>
  <c r="AA195" i="6"/>
  <c r="Z195" i="6"/>
  <c r="Y195" i="6"/>
  <c r="X195" i="6"/>
  <c r="W195" i="6"/>
  <c r="V195" i="6"/>
  <c r="U195" i="6"/>
  <c r="T195" i="6"/>
  <c r="R195" i="6"/>
  <c r="P195" i="6"/>
  <c r="O195" i="6"/>
  <c r="N195" i="6"/>
  <c r="G195" i="6"/>
  <c r="DQ194" i="6"/>
  <c r="DI194" i="6"/>
  <c r="DC194" i="6"/>
  <c r="CY194" i="6"/>
  <c r="CU194" i="6"/>
  <c r="CS194" i="6"/>
  <c r="CN194" i="6"/>
  <c r="CM194" i="6"/>
  <c r="CL194" i="6"/>
  <c r="CG194" i="6"/>
  <c r="CC194" i="6"/>
  <c r="BK194" i="6"/>
  <c r="BC194" i="6"/>
  <c r="BA194" i="6"/>
  <c r="AV194" i="6"/>
  <c r="AU194" i="6"/>
  <c r="AT194" i="6"/>
  <c r="AO194" i="6"/>
  <c r="AM194" i="6"/>
  <c r="AK194" i="6"/>
  <c r="AF194" i="6"/>
  <c r="AE194" i="6"/>
  <c r="AD194" i="6"/>
  <c r="Y194" i="6"/>
  <c r="X194" i="6"/>
  <c r="W194" i="6"/>
  <c r="V194" i="6"/>
  <c r="U194" i="6"/>
  <c r="R194" i="6"/>
  <c r="P194" i="6"/>
  <c r="N194" i="6"/>
  <c r="G194" i="6"/>
  <c r="DI193" i="6"/>
  <c r="DF193" i="6"/>
  <c r="DA193" i="6"/>
  <c r="CU193" i="6"/>
  <c r="CT193" i="6"/>
  <c r="CS193" i="6"/>
  <c r="CQ193" i="6"/>
  <c r="CP193" i="6"/>
  <c r="CO193" i="6"/>
  <c r="CN193" i="6"/>
  <c r="CM193" i="6"/>
  <c r="CL193" i="6"/>
  <c r="CK193" i="6"/>
  <c r="CJ193" i="6"/>
  <c r="CG193" i="6"/>
  <c r="CF193" i="6"/>
  <c r="CE193" i="6"/>
  <c r="CD193" i="6"/>
  <c r="CC193" i="6"/>
  <c r="BY193" i="6"/>
  <c r="BX193" i="6"/>
  <c r="BN193" i="6"/>
  <c r="BI193" i="6"/>
  <c r="BC193" i="6"/>
  <c r="BB193" i="6"/>
  <c r="BA193" i="6"/>
  <c r="AY193" i="6"/>
  <c r="AX193" i="6"/>
  <c r="AW193" i="6"/>
  <c r="AV193" i="6"/>
  <c r="AU193" i="6"/>
  <c r="AT193" i="6"/>
  <c r="AS193" i="6"/>
  <c r="AR193" i="6"/>
  <c r="AO193" i="6"/>
  <c r="AN193" i="6"/>
  <c r="AM193" i="6"/>
  <c r="AL193" i="6"/>
  <c r="AK193" i="6"/>
  <c r="AF193" i="6"/>
  <c r="AE193" i="6"/>
  <c r="AD193" i="6"/>
  <c r="AB193" i="6"/>
  <c r="AA193" i="6"/>
  <c r="Z193" i="6"/>
  <c r="Y193" i="6"/>
  <c r="X193" i="6"/>
  <c r="W193" i="6"/>
  <c r="V193" i="6"/>
  <c r="U193" i="6"/>
  <c r="S193" i="6"/>
  <c r="R193" i="6"/>
  <c r="Q193" i="6"/>
  <c r="P193" i="6"/>
  <c r="N193" i="6"/>
  <c r="G193" i="6"/>
  <c r="DI192" i="6"/>
  <c r="DF192" i="6"/>
  <c r="CY192" i="6"/>
  <c r="CU192" i="6"/>
  <c r="CT192" i="6"/>
  <c r="CS192" i="6"/>
  <c r="CQ192" i="6"/>
  <c r="CP192" i="6"/>
  <c r="CO192" i="6"/>
  <c r="CM192" i="6"/>
  <c r="CL192" i="6"/>
  <c r="CK192" i="6"/>
  <c r="CJ192" i="6"/>
  <c r="CI192" i="6"/>
  <c r="CG192" i="6"/>
  <c r="CE192" i="6"/>
  <c r="CD192" i="6"/>
  <c r="CC192" i="6"/>
  <c r="BN192" i="6"/>
  <c r="BI192" i="6"/>
  <c r="BB192" i="6"/>
  <c r="BA192" i="6"/>
  <c r="AY192" i="6"/>
  <c r="AX192" i="6"/>
  <c r="AW192" i="6"/>
  <c r="AU192" i="6"/>
  <c r="AT192" i="6"/>
  <c r="AS192" i="6"/>
  <c r="AR192" i="6"/>
  <c r="AQ192" i="6"/>
  <c r="AO192" i="6"/>
  <c r="AM192" i="6"/>
  <c r="AL192" i="6"/>
  <c r="AK192" i="6"/>
  <c r="AF192" i="6"/>
  <c r="AE192" i="6"/>
  <c r="AD192" i="6"/>
  <c r="AC192" i="6"/>
  <c r="AB192" i="6"/>
  <c r="AA192" i="6"/>
  <c r="Z192" i="6"/>
  <c r="Y192" i="6"/>
  <c r="X192" i="6"/>
  <c r="W192" i="6"/>
  <c r="V192" i="6"/>
  <c r="U192" i="6"/>
  <c r="S192" i="6"/>
  <c r="P192" i="6"/>
  <c r="N192" i="6"/>
  <c r="G192" i="6"/>
  <c r="DQ191" i="6"/>
  <c r="DF191" i="6"/>
  <c r="DA191" i="6"/>
  <c r="CZ191" i="6"/>
  <c r="CY191" i="6"/>
  <c r="CU191" i="6"/>
  <c r="CT191" i="6"/>
  <c r="CS191" i="6"/>
  <c r="CR191" i="6"/>
  <c r="CQ191" i="6"/>
  <c r="CP191" i="6"/>
  <c r="CO191" i="6"/>
  <c r="CN191" i="6"/>
  <c r="CM191" i="6"/>
  <c r="CL191" i="6"/>
  <c r="CK191" i="6"/>
  <c r="CJ191" i="6"/>
  <c r="CI191" i="6"/>
  <c r="CH191" i="6"/>
  <c r="CE191" i="6"/>
  <c r="CD191" i="6"/>
  <c r="CC191" i="6"/>
  <c r="BN191" i="6"/>
  <c r="BI191" i="6"/>
  <c r="BG191" i="6"/>
  <c r="BC191" i="6"/>
  <c r="BB191" i="6"/>
  <c r="BA191" i="6"/>
  <c r="AZ191" i="6"/>
  <c r="AY191" i="6"/>
  <c r="AX191" i="6"/>
  <c r="AW191" i="6"/>
  <c r="AV191" i="6"/>
  <c r="AU191" i="6"/>
  <c r="AT191" i="6"/>
  <c r="AS191" i="6"/>
  <c r="AR191" i="6"/>
  <c r="AQ191" i="6"/>
  <c r="AP191" i="6"/>
  <c r="AM191" i="6"/>
  <c r="AL191" i="6"/>
  <c r="AK191" i="6"/>
  <c r="AF191" i="6"/>
  <c r="AE191" i="6"/>
  <c r="AD191" i="6"/>
  <c r="AC191" i="6"/>
  <c r="AB191" i="6"/>
  <c r="AA191" i="6"/>
  <c r="Z191" i="6"/>
  <c r="Y191" i="6"/>
  <c r="X191" i="6"/>
  <c r="W191" i="6"/>
  <c r="V191" i="6"/>
  <c r="U191" i="6"/>
  <c r="T191" i="6"/>
  <c r="P191" i="6"/>
  <c r="O191" i="6"/>
  <c r="N191" i="6"/>
  <c r="G191" i="6"/>
  <c r="DF187" i="6"/>
  <c r="CY187" i="6"/>
  <c r="CU187" i="6"/>
  <c r="CT187" i="6"/>
  <c r="CS187" i="6"/>
  <c r="CP187" i="6"/>
  <c r="CO187" i="6"/>
  <c r="CN187" i="6"/>
  <c r="CM187" i="6"/>
  <c r="CL187" i="6"/>
  <c r="CK187" i="6"/>
  <c r="CJ187" i="6"/>
  <c r="CI187" i="6"/>
  <c r="CD187" i="6"/>
  <c r="CC187" i="6"/>
  <c r="BN187" i="6"/>
  <c r="BB187" i="6"/>
  <c r="BA187" i="6"/>
  <c r="AX187" i="6"/>
  <c r="AW187" i="6"/>
  <c r="AU187" i="6"/>
  <c r="AT187" i="6"/>
  <c r="AS187" i="6"/>
  <c r="AR187" i="6"/>
  <c r="AQ187" i="6"/>
  <c r="AL187" i="6"/>
  <c r="AK187" i="6"/>
  <c r="AF187" i="6"/>
  <c r="AE187" i="6"/>
  <c r="AD187" i="6"/>
  <c r="AB187" i="6"/>
  <c r="AA187" i="6"/>
  <c r="Z187" i="6"/>
  <c r="Y187" i="6"/>
  <c r="X187" i="6"/>
  <c r="W187" i="6"/>
  <c r="V187" i="6"/>
  <c r="U187" i="6"/>
  <c r="P187" i="6"/>
  <c r="N187" i="6"/>
  <c r="G187" i="6"/>
  <c r="DR186" i="6"/>
  <c r="DQ186" i="6"/>
  <c r="DP186" i="6"/>
  <c r="DO186" i="6"/>
  <c r="DN186" i="6"/>
  <c r="DM186" i="6"/>
  <c r="DL186" i="6"/>
  <c r="DK186" i="6"/>
  <c r="DJ186" i="6"/>
  <c r="DH186" i="6"/>
  <c r="DG186" i="6"/>
  <c r="DE186" i="6"/>
  <c r="DD186" i="6"/>
  <c r="DC186" i="6"/>
  <c r="DB186" i="6"/>
  <c r="CB186" i="6"/>
  <c r="BZ186" i="6"/>
  <c r="BW186" i="6"/>
  <c r="BV186" i="6"/>
  <c r="BU186" i="6"/>
  <c r="BT186" i="6"/>
  <c r="BS186" i="6"/>
  <c r="BR186" i="6"/>
  <c r="BQ186" i="6"/>
  <c r="BP186" i="6"/>
  <c r="BO186" i="6"/>
  <c r="BM186" i="6"/>
  <c r="BL186" i="6"/>
  <c r="BK186" i="6"/>
  <c r="BH186" i="6"/>
  <c r="BG186" i="6"/>
  <c r="AJ186" i="6"/>
  <c r="Q186" i="6"/>
  <c r="BJ186" i="6" s="1"/>
  <c r="M186" i="6"/>
  <c r="DQ185" i="6"/>
  <c r="DP185" i="6"/>
  <c r="DO185" i="6"/>
  <c r="DN185" i="6"/>
  <c r="DM185" i="6"/>
  <c r="DL185" i="6"/>
  <c r="DK185" i="6"/>
  <c r="DJ185" i="6"/>
  <c r="DH185" i="6"/>
  <c r="DG185" i="6"/>
  <c r="DE185" i="6"/>
  <c r="DD185" i="6"/>
  <c r="DC185" i="6"/>
  <c r="DB185" i="6"/>
  <c r="CV185" i="6"/>
  <c r="DR185" i="6" s="1"/>
  <c r="BW185" i="6"/>
  <c r="BV185" i="6"/>
  <c r="BU185" i="6"/>
  <c r="BT185" i="6"/>
  <c r="BS185" i="6"/>
  <c r="BR185" i="6"/>
  <c r="BQ185" i="6"/>
  <c r="BP185" i="6"/>
  <c r="BO185" i="6"/>
  <c r="BM185" i="6"/>
  <c r="BL185" i="6"/>
  <c r="BK185" i="6"/>
  <c r="BJ185" i="6"/>
  <c r="BH185" i="6"/>
  <c r="BG185" i="6"/>
  <c r="BD185" i="6"/>
  <c r="AJ185" i="6" s="1"/>
  <c r="AG185" i="6"/>
  <c r="M185" i="6"/>
  <c r="DR184" i="6"/>
  <c r="DQ184" i="6"/>
  <c r="DQ193" i="6" s="1"/>
  <c r="DP184" i="6"/>
  <c r="DO184" i="6"/>
  <c r="DM184" i="6"/>
  <c r="DL184" i="6"/>
  <c r="DK184" i="6"/>
  <c r="DJ184" i="6"/>
  <c r="DH184" i="6"/>
  <c r="DG184" i="6"/>
  <c r="DE184" i="6"/>
  <c r="DD184" i="6"/>
  <c r="DC184" i="6"/>
  <c r="DB184" i="6"/>
  <c r="CR184" i="6"/>
  <c r="CR193" i="6" s="1"/>
  <c r="CB184" i="6"/>
  <c r="BZ184" i="6"/>
  <c r="BW184" i="6"/>
  <c r="BU184" i="6"/>
  <c r="BT184" i="6"/>
  <c r="BS184" i="6"/>
  <c r="BR184" i="6"/>
  <c r="BQ184" i="6"/>
  <c r="BP184" i="6"/>
  <c r="BO184" i="6"/>
  <c r="BM184" i="6"/>
  <c r="BL184" i="6"/>
  <c r="BK184" i="6"/>
  <c r="BJ184" i="6"/>
  <c r="BH184" i="6"/>
  <c r="BG184" i="6"/>
  <c r="AZ184" i="6"/>
  <c r="AC184" i="6"/>
  <c r="DR183" i="6"/>
  <c r="DQ183" i="6"/>
  <c r="DP183" i="6"/>
  <c r="DO183" i="6"/>
  <c r="DN183" i="6"/>
  <c r="DM183" i="6"/>
  <c r="DL183" i="6"/>
  <c r="DK183" i="6"/>
  <c r="DJ183" i="6"/>
  <c r="DH183" i="6"/>
  <c r="DG183" i="6"/>
  <c r="DE183" i="6"/>
  <c r="DC183" i="6"/>
  <c r="DB183" i="6"/>
  <c r="CB183" i="6"/>
  <c r="BZ183" i="6"/>
  <c r="BW183" i="6"/>
  <c r="BV183" i="6"/>
  <c r="BU183" i="6"/>
  <c r="BT183" i="6"/>
  <c r="BS183" i="6"/>
  <c r="BR183" i="6"/>
  <c r="BQ183" i="6"/>
  <c r="BP183" i="6"/>
  <c r="BO183" i="6"/>
  <c r="BM183" i="6"/>
  <c r="BK183" i="6"/>
  <c r="BJ183" i="6"/>
  <c r="BH183" i="6"/>
  <c r="BG183" i="6"/>
  <c r="AJ183" i="6"/>
  <c r="S183" i="6"/>
  <c r="M183" i="6"/>
  <c r="DR182" i="6"/>
  <c r="DQ182" i="6"/>
  <c r="DP182" i="6"/>
  <c r="DO182" i="6"/>
  <c r="DN182" i="6"/>
  <c r="DL182" i="6"/>
  <c r="DK182" i="6"/>
  <c r="DJ182" i="6"/>
  <c r="DH182" i="6"/>
  <c r="DG182" i="6"/>
  <c r="DE182" i="6"/>
  <c r="DD182" i="6"/>
  <c r="DC182" i="6"/>
  <c r="DB182" i="6"/>
  <c r="CQ182" i="6"/>
  <c r="BZ182" i="6"/>
  <c r="BW182" i="6"/>
  <c r="BV182" i="6"/>
  <c r="BT182" i="6"/>
  <c r="BS182" i="6"/>
  <c r="BR182" i="6"/>
  <c r="BQ182" i="6"/>
  <c r="BP182" i="6"/>
  <c r="BO182" i="6"/>
  <c r="BM182" i="6"/>
  <c r="BL182" i="6"/>
  <c r="BK182" i="6"/>
  <c r="BJ182" i="6"/>
  <c r="BH182" i="6"/>
  <c r="BG182" i="6"/>
  <c r="AY182" i="6"/>
  <c r="M182" i="6"/>
  <c r="DR181" i="6"/>
  <c r="DQ181" i="6"/>
  <c r="DP181" i="6"/>
  <c r="DO181" i="6"/>
  <c r="DN181" i="6"/>
  <c r="DM181" i="6"/>
  <c r="DL181" i="6"/>
  <c r="DK181" i="6"/>
  <c r="DJ181" i="6"/>
  <c r="DH181" i="6"/>
  <c r="DG181" i="6"/>
  <c r="DE181" i="6"/>
  <c r="DD181" i="6"/>
  <c r="DC181" i="6"/>
  <c r="DB181" i="6"/>
  <c r="CB181" i="6"/>
  <c r="BZ181" i="6"/>
  <c r="BW181" i="6"/>
  <c r="BV181" i="6"/>
  <c r="BU181" i="6"/>
  <c r="BT181" i="6"/>
  <c r="BS181" i="6"/>
  <c r="BR181" i="6"/>
  <c r="BQ181" i="6"/>
  <c r="BP181" i="6"/>
  <c r="BO181" i="6"/>
  <c r="BM181" i="6"/>
  <c r="BL181" i="6"/>
  <c r="BK181" i="6"/>
  <c r="BJ181" i="6"/>
  <c r="BH181" i="6"/>
  <c r="BG181" i="6"/>
  <c r="AJ181" i="6"/>
  <c r="M181" i="6"/>
  <c r="DR180" i="6"/>
  <c r="DQ180" i="6"/>
  <c r="DP180" i="6"/>
  <c r="DO180" i="6"/>
  <c r="DN180" i="6"/>
  <c r="DM180" i="6"/>
  <c r="DL180" i="6"/>
  <c r="DK180" i="6"/>
  <c r="DJ180" i="6"/>
  <c r="DH180" i="6"/>
  <c r="DG180" i="6"/>
  <c r="DE180" i="6"/>
  <c r="DC180" i="6"/>
  <c r="DB180" i="6"/>
  <c r="CH180" i="6"/>
  <c r="DD180" i="6" s="1"/>
  <c r="BZ180" i="6"/>
  <c r="BW180" i="6"/>
  <c r="BV180" i="6"/>
  <c r="BU180" i="6"/>
  <c r="BT180" i="6"/>
  <c r="BS180" i="6"/>
  <c r="BR180" i="6"/>
  <c r="BQ180" i="6"/>
  <c r="BP180" i="6"/>
  <c r="BO180" i="6"/>
  <c r="BM180" i="6"/>
  <c r="BK180" i="6"/>
  <c r="BJ180" i="6"/>
  <c r="BH180" i="6"/>
  <c r="BG180" i="6"/>
  <c r="AP180" i="6"/>
  <c r="M180" i="6"/>
  <c r="DR179" i="6"/>
  <c r="DQ179" i="6"/>
  <c r="DP179" i="6"/>
  <c r="DO179" i="6"/>
  <c r="DN179" i="6"/>
  <c r="DM179" i="6"/>
  <c r="DL179" i="6"/>
  <c r="DK179" i="6"/>
  <c r="DJ179" i="6"/>
  <c r="DH179" i="6"/>
  <c r="DG179" i="6"/>
  <c r="DE179" i="6"/>
  <c r="DD179" i="6"/>
  <c r="DC179" i="6"/>
  <c r="DB179" i="6"/>
  <c r="CB179" i="6"/>
  <c r="H179" i="6" s="1"/>
  <c r="BZ179" i="6"/>
  <c r="BW179" i="6"/>
  <c r="BV179" i="6"/>
  <c r="BU179" i="6"/>
  <c r="BT179" i="6"/>
  <c r="BS179" i="6"/>
  <c r="BR179" i="6"/>
  <c r="BQ179" i="6"/>
  <c r="BP179" i="6"/>
  <c r="BO179" i="6"/>
  <c r="BM179" i="6"/>
  <c r="BL179" i="6"/>
  <c r="BK179" i="6"/>
  <c r="BJ179" i="6"/>
  <c r="BH179" i="6"/>
  <c r="BG179" i="6"/>
  <c r="AJ179" i="6"/>
  <c r="M179" i="6"/>
  <c r="AI179" i="6" s="1"/>
  <c r="BE179" i="6" s="1"/>
  <c r="DR178" i="6"/>
  <c r="DQ178" i="6"/>
  <c r="DP178" i="6"/>
  <c r="DO178" i="6"/>
  <c r="DN178" i="6"/>
  <c r="DM178" i="6"/>
  <c r="DL178" i="6"/>
  <c r="DK178" i="6"/>
  <c r="DJ178" i="6"/>
  <c r="DH178" i="6"/>
  <c r="DG178" i="6"/>
  <c r="DE178" i="6"/>
  <c r="DD178" i="6"/>
  <c r="DC178" i="6"/>
  <c r="DB178" i="6"/>
  <c r="CB178" i="6"/>
  <c r="H178" i="6" s="1"/>
  <c r="I178" i="6" s="1"/>
  <c r="BZ178" i="6"/>
  <c r="BW178" i="6"/>
  <c r="BV178" i="6"/>
  <c r="BU178" i="6"/>
  <c r="BT178" i="6"/>
  <c r="BS178" i="6"/>
  <c r="BR178" i="6"/>
  <c r="BQ178" i="6"/>
  <c r="BP178" i="6"/>
  <c r="BO178" i="6"/>
  <c r="BM178" i="6"/>
  <c r="BL178" i="6"/>
  <c r="BK178" i="6"/>
  <c r="BJ178" i="6"/>
  <c r="BH178" i="6"/>
  <c r="BG178" i="6"/>
  <c r="AJ178" i="6"/>
  <c r="M178" i="6"/>
  <c r="DR177" i="6"/>
  <c r="DQ177" i="6"/>
  <c r="DP177" i="6"/>
  <c r="DO177" i="6"/>
  <c r="DN177" i="6"/>
  <c r="DM177" i="6"/>
  <c r="DL177" i="6"/>
  <c r="DK177" i="6"/>
  <c r="DJ177" i="6"/>
  <c r="DH177" i="6"/>
  <c r="DG177" i="6"/>
  <c r="DE177" i="6"/>
  <c r="DC177" i="6"/>
  <c r="DB177" i="6"/>
  <c r="CH177" i="6"/>
  <c r="DD177" i="6" s="1"/>
  <c r="CB177" i="6"/>
  <c r="BZ177" i="6"/>
  <c r="BW177" i="6"/>
  <c r="BV177" i="6"/>
  <c r="BU177" i="6"/>
  <c r="BT177" i="6"/>
  <c r="BS177" i="6"/>
  <c r="BR177" i="6"/>
  <c r="BQ177" i="6"/>
  <c r="BP177" i="6"/>
  <c r="BO177" i="6"/>
  <c r="BM177" i="6"/>
  <c r="BK177" i="6"/>
  <c r="BJ177" i="6"/>
  <c r="BH177" i="6"/>
  <c r="BG177" i="6"/>
  <c r="AP177" i="6"/>
  <c r="BL177" i="6" s="1"/>
  <c r="M177" i="6"/>
  <c r="DR176" i="6"/>
  <c r="DQ176" i="6"/>
  <c r="DP176" i="6"/>
  <c r="DO176" i="6"/>
  <c r="DN176" i="6"/>
  <c r="DM176" i="6"/>
  <c r="DL176" i="6"/>
  <c r="DK176" i="6"/>
  <c r="DJ176" i="6"/>
  <c r="DH176" i="6"/>
  <c r="DG176" i="6"/>
  <c r="DE176" i="6"/>
  <c r="DD176" i="6"/>
  <c r="DC176" i="6"/>
  <c r="CB176" i="6"/>
  <c r="H176" i="6" s="1"/>
  <c r="BZ176" i="6"/>
  <c r="BW176" i="6"/>
  <c r="BV176" i="6"/>
  <c r="BU176" i="6"/>
  <c r="BT176" i="6"/>
  <c r="BS176" i="6"/>
  <c r="BR176" i="6"/>
  <c r="BQ176" i="6"/>
  <c r="BP176" i="6"/>
  <c r="BO176" i="6"/>
  <c r="BM176" i="6"/>
  <c r="BL176" i="6"/>
  <c r="BK176" i="6"/>
  <c r="BH176" i="6"/>
  <c r="BG176" i="6"/>
  <c r="AJ176" i="6"/>
  <c r="Q176" i="6"/>
  <c r="DB176" i="6" s="1"/>
  <c r="DR175" i="6"/>
  <c r="DQ175" i="6"/>
  <c r="DP175" i="6"/>
  <c r="DO175" i="6"/>
  <c r="DN175" i="6"/>
  <c r="DM175" i="6"/>
  <c r="DL175" i="6"/>
  <c r="DK175" i="6"/>
  <c r="DJ175" i="6"/>
  <c r="DH175" i="6"/>
  <c r="DG175" i="6"/>
  <c r="DE175" i="6"/>
  <c r="DC175" i="6"/>
  <c r="DB175" i="6"/>
  <c r="CH175" i="6"/>
  <c r="CB175" i="6" s="1"/>
  <c r="H175" i="6" s="1"/>
  <c r="BZ175" i="6"/>
  <c r="BW175" i="6"/>
  <c r="BV175" i="6"/>
  <c r="BU175" i="6"/>
  <c r="BT175" i="6"/>
  <c r="BS175" i="6"/>
  <c r="BR175" i="6"/>
  <c r="BQ175" i="6"/>
  <c r="BP175" i="6"/>
  <c r="BO175" i="6"/>
  <c r="BM175" i="6"/>
  <c r="BK175" i="6"/>
  <c r="BJ175" i="6"/>
  <c r="BH175" i="6"/>
  <c r="BG175" i="6"/>
  <c r="AP175" i="6"/>
  <c r="AJ175" i="6" s="1"/>
  <c r="M175" i="6"/>
  <c r="DR174" i="6"/>
  <c r="DQ174" i="6"/>
  <c r="DP174" i="6"/>
  <c r="DO174" i="6"/>
  <c r="DN174" i="6"/>
  <c r="DM174" i="6"/>
  <c r="DL174" i="6"/>
  <c r="DK174" i="6"/>
  <c r="DJ174" i="6"/>
  <c r="DH174" i="6"/>
  <c r="DG174" i="6"/>
  <c r="DE174" i="6"/>
  <c r="DD174" i="6"/>
  <c r="DC174" i="6"/>
  <c r="CB174" i="6"/>
  <c r="BZ174" i="6"/>
  <c r="BY174" i="6"/>
  <c r="BW174" i="6"/>
  <c r="BV174" i="6"/>
  <c r="BU174" i="6"/>
  <c r="BT174" i="6"/>
  <c r="BS174" i="6"/>
  <c r="BR174" i="6"/>
  <c r="BQ174" i="6"/>
  <c r="BP174" i="6"/>
  <c r="BO174" i="6"/>
  <c r="BM174" i="6"/>
  <c r="BL174" i="6"/>
  <c r="BK174" i="6"/>
  <c r="BJ174" i="6"/>
  <c r="BH174" i="6"/>
  <c r="BG174" i="6"/>
  <c r="AJ174" i="6"/>
  <c r="AI174" i="6"/>
  <c r="BE174" i="6" s="1"/>
  <c r="Q174" i="6"/>
  <c r="DB174" i="6" s="1"/>
  <c r="M174" i="6"/>
  <c r="DR173" i="6"/>
  <c r="DQ173" i="6"/>
  <c r="DP173" i="6"/>
  <c r="DO173" i="6"/>
  <c r="DN173" i="6"/>
  <c r="DM173" i="6"/>
  <c r="DL173" i="6"/>
  <c r="DK173" i="6"/>
  <c r="DJ173" i="6"/>
  <c r="DH173" i="6"/>
  <c r="DG173" i="6"/>
  <c r="DE173" i="6"/>
  <c r="DD173" i="6"/>
  <c r="DC173" i="6"/>
  <c r="CB173" i="6"/>
  <c r="BZ173" i="6"/>
  <c r="BY173" i="6"/>
  <c r="BW173" i="6"/>
  <c r="BV173" i="6"/>
  <c r="BU173" i="6"/>
  <c r="BT173" i="6"/>
  <c r="BS173" i="6"/>
  <c r="BR173" i="6"/>
  <c r="BQ173" i="6"/>
  <c r="BP173" i="6"/>
  <c r="BO173" i="6"/>
  <c r="BM173" i="6"/>
  <c r="BL173" i="6"/>
  <c r="BK173" i="6"/>
  <c r="BJ173" i="6"/>
  <c r="BH173" i="6"/>
  <c r="BG173" i="6"/>
  <c r="AJ173" i="6"/>
  <c r="Q173" i="6"/>
  <c r="DB173" i="6" s="1"/>
  <c r="DR172" i="6"/>
  <c r="DQ172" i="6"/>
  <c r="DP172" i="6"/>
  <c r="DO172" i="6"/>
  <c r="DN172" i="6"/>
  <c r="DM172" i="6"/>
  <c r="DL172" i="6"/>
  <c r="DK172" i="6"/>
  <c r="DJ172" i="6"/>
  <c r="DH172" i="6"/>
  <c r="DG172" i="6"/>
  <c r="DE172" i="6"/>
  <c r="DD172" i="6"/>
  <c r="DC172" i="6"/>
  <c r="CB172" i="6"/>
  <c r="BZ172" i="6"/>
  <c r="BY172" i="6"/>
  <c r="BW172" i="6"/>
  <c r="BV172" i="6"/>
  <c r="BU172" i="6"/>
  <c r="BT172" i="6"/>
  <c r="BS172" i="6"/>
  <c r="BR172" i="6"/>
  <c r="BQ172" i="6"/>
  <c r="BP172" i="6"/>
  <c r="BO172" i="6"/>
  <c r="BM172" i="6"/>
  <c r="BL172" i="6"/>
  <c r="BK172" i="6"/>
  <c r="BH172" i="6"/>
  <c r="BG172" i="6"/>
  <c r="AJ172" i="6"/>
  <c r="Q172" i="6"/>
  <c r="BJ172" i="6" s="1"/>
  <c r="DR171" i="6"/>
  <c r="DQ171" i="6"/>
  <c r="DP171" i="6"/>
  <c r="DO171" i="6"/>
  <c r="DN171" i="6"/>
  <c r="DM171" i="6"/>
  <c r="DL171" i="6"/>
  <c r="DK171" i="6"/>
  <c r="DJ171" i="6"/>
  <c r="DH171" i="6"/>
  <c r="DG171" i="6"/>
  <c r="DE171" i="6"/>
  <c r="DD171" i="6"/>
  <c r="DC171" i="6"/>
  <c r="DB171" i="6"/>
  <c r="CB171" i="6"/>
  <c r="BZ171" i="6"/>
  <c r="BY171" i="6"/>
  <c r="BW171" i="6"/>
  <c r="BV171" i="6"/>
  <c r="BU171" i="6"/>
  <c r="BT171" i="6"/>
  <c r="BS171" i="6"/>
  <c r="BR171" i="6"/>
  <c r="BQ171" i="6"/>
  <c r="BP171" i="6"/>
  <c r="BO171" i="6"/>
  <c r="BM171" i="6"/>
  <c r="BL171" i="6"/>
  <c r="BK171" i="6"/>
  <c r="BJ171" i="6"/>
  <c r="BH171" i="6"/>
  <c r="BG171" i="6"/>
  <c r="AJ171" i="6"/>
  <c r="M171" i="6"/>
  <c r="DR170" i="6"/>
  <c r="DQ170" i="6"/>
  <c r="DP170" i="6"/>
  <c r="DO170" i="6"/>
  <c r="DN170" i="6"/>
  <c r="DM170" i="6"/>
  <c r="DL170" i="6"/>
  <c r="DK170" i="6"/>
  <c r="DJ170" i="6"/>
  <c r="DH170" i="6"/>
  <c r="DG170" i="6"/>
  <c r="DE170" i="6"/>
  <c r="DC170" i="6"/>
  <c r="CB170" i="6"/>
  <c r="BZ170" i="6"/>
  <c r="BY170" i="6"/>
  <c r="BW170" i="6"/>
  <c r="BU170" i="6"/>
  <c r="BT170" i="6"/>
  <c r="BS170" i="6"/>
  <c r="BR170" i="6"/>
  <c r="BQ170" i="6"/>
  <c r="BP170" i="6"/>
  <c r="BO170" i="6"/>
  <c r="BM170" i="6"/>
  <c r="BK170" i="6"/>
  <c r="BH170" i="6"/>
  <c r="BG170" i="6"/>
  <c r="AZ170" i="6"/>
  <c r="AJ170" i="6" s="1"/>
  <c r="S170" i="6"/>
  <c r="BL170" i="6" s="1"/>
  <c r="Q170" i="6"/>
  <c r="H170" i="6"/>
  <c r="DR169" i="6"/>
  <c r="DQ169" i="6"/>
  <c r="DP169" i="6"/>
  <c r="DO169" i="6"/>
  <c r="DN169" i="6"/>
  <c r="DM169" i="6"/>
  <c r="DL169" i="6"/>
  <c r="DK169" i="6"/>
  <c r="DJ169" i="6"/>
  <c r="DH169" i="6"/>
  <c r="DG169" i="6"/>
  <c r="DE169" i="6"/>
  <c r="DC169" i="6"/>
  <c r="DB169" i="6"/>
  <c r="CZ169" i="6"/>
  <c r="CH169" i="6"/>
  <c r="CB169" i="6" s="1"/>
  <c r="BZ169" i="6"/>
  <c r="BY169" i="6"/>
  <c r="BW169" i="6"/>
  <c r="BU169" i="6"/>
  <c r="BT169" i="6"/>
  <c r="BS169" i="6"/>
  <c r="BR169" i="6"/>
  <c r="BQ169" i="6"/>
  <c r="BP169" i="6"/>
  <c r="BO169" i="6"/>
  <c r="BM169" i="6"/>
  <c r="BK169" i="6"/>
  <c r="BJ169" i="6"/>
  <c r="BH169" i="6"/>
  <c r="BG169" i="6"/>
  <c r="AZ169" i="6"/>
  <c r="AP169" i="6"/>
  <c r="S169" i="6"/>
  <c r="CB168" i="6"/>
  <c r="H168" i="6" s="1"/>
  <c r="AJ168" i="6"/>
  <c r="Q168" i="6"/>
  <c r="CB167" i="6"/>
  <c r="H167" i="6" s="1"/>
  <c r="AJ167" i="6"/>
  <c r="Q167" i="6"/>
  <c r="CB166" i="6"/>
  <c r="H166" i="6" s="1"/>
  <c r="AJ166" i="6"/>
  <c r="Q166" i="6"/>
  <c r="M166" i="6"/>
  <c r="DR165" i="6"/>
  <c r="DQ165" i="6"/>
  <c r="DP165" i="6"/>
  <c r="DO165" i="6"/>
  <c r="DN165" i="6"/>
  <c r="DM165" i="6"/>
  <c r="DL165" i="6"/>
  <c r="DK165" i="6"/>
  <c r="DJ165" i="6"/>
  <c r="DH165" i="6"/>
  <c r="DG165" i="6"/>
  <c r="DE165" i="6"/>
  <c r="DD165" i="6"/>
  <c r="DC165" i="6"/>
  <c r="DB165" i="6"/>
  <c r="CB165" i="6"/>
  <c r="BZ165" i="6"/>
  <c r="BW165" i="6"/>
  <c r="BV165" i="6"/>
  <c r="BU165" i="6"/>
  <c r="BT165" i="6"/>
  <c r="BS165" i="6"/>
  <c r="BR165" i="6"/>
  <c r="BQ165" i="6"/>
  <c r="BP165" i="6"/>
  <c r="BO165" i="6"/>
  <c r="BM165" i="6"/>
  <c r="BL165" i="6"/>
  <c r="BK165" i="6"/>
  <c r="BJ165" i="6"/>
  <c r="BH165" i="6"/>
  <c r="BG165" i="6"/>
  <c r="BC165" i="6"/>
  <c r="M165" i="6"/>
  <c r="DQ164" i="6"/>
  <c r="DP164" i="6"/>
  <c r="DO164" i="6"/>
  <c r="DN164" i="6"/>
  <c r="DM164" i="6"/>
  <c r="DL164" i="6"/>
  <c r="DK164" i="6"/>
  <c r="DJ164" i="6"/>
  <c r="DH164" i="6"/>
  <c r="DG164" i="6"/>
  <c r="DE164" i="6"/>
  <c r="DD164" i="6"/>
  <c r="DC164" i="6"/>
  <c r="DB164" i="6"/>
  <c r="CV164" i="6"/>
  <c r="CB164" i="6" s="1"/>
  <c r="BY164" i="6"/>
  <c r="BW164" i="6"/>
  <c r="BV164" i="6"/>
  <c r="BU164" i="6"/>
  <c r="BT164" i="6"/>
  <c r="BS164" i="6"/>
  <c r="BR164" i="6"/>
  <c r="BQ164" i="6"/>
  <c r="BP164" i="6"/>
  <c r="BO164" i="6"/>
  <c r="BM164" i="6"/>
  <c r="BL164" i="6"/>
  <c r="BK164" i="6"/>
  <c r="BJ164" i="6"/>
  <c r="BH164" i="6"/>
  <c r="BG164" i="6"/>
  <c r="BD164" i="6"/>
  <c r="AJ164" i="6" s="1"/>
  <c r="AG164" i="6"/>
  <c r="M164" i="6" s="1"/>
  <c r="DQ163" i="6"/>
  <c r="DP163" i="6"/>
  <c r="DO163" i="6"/>
  <c r="DN163" i="6"/>
  <c r="DM163" i="6"/>
  <c r="DL163" i="6"/>
  <c r="DK163" i="6"/>
  <c r="DJ163" i="6"/>
  <c r="DH163" i="6"/>
  <c r="DG163" i="6"/>
  <c r="DE163" i="6"/>
  <c r="DD163" i="6"/>
  <c r="DC163" i="6"/>
  <c r="CB163" i="6"/>
  <c r="H163" i="6" s="1"/>
  <c r="BY163" i="6"/>
  <c r="BW163" i="6"/>
  <c r="BV163" i="6"/>
  <c r="BU163" i="6"/>
  <c r="BT163" i="6"/>
  <c r="BS163" i="6"/>
  <c r="BR163" i="6"/>
  <c r="BQ163" i="6"/>
  <c r="BP163" i="6"/>
  <c r="BO163" i="6"/>
  <c r="BM163" i="6"/>
  <c r="BL163" i="6"/>
  <c r="BK163" i="6"/>
  <c r="BH163" i="6"/>
  <c r="BG163" i="6"/>
  <c r="BD163" i="6"/>
  <c r="AJ163" i="6" s="1"/>
  <c r="AG163" i="6"/>
  <c r="DR163" i="6" s="1"/>
  <c r="T163" i="6"/>
  <c r="Q163" i="6"/>
  <c r="DR162" i="6"/>
  <c r="DQ162" i="6"/>
  <c r="DP162" i="6"/>
  <c r="DO162" i="6"/>
  <c r="DM162" i="6"/>
  <c r="DL162" i="6"/>
  <c r="DK162" i="6"/>
  <c r="DJ162" i="6"/>
  <c r="DH162" i="6"/>
  <c r="DG162" i="6"/>
  <c r="DE162" i="6"/>
  <c r="DC162" i="6"/>
  <c r="DB162" i="6"/>
  <c r="CR162" i="6"/>
  <c r="CR192" i="6" s="1"/>
  <c r="CH162" i="6"/>
  <c r="BZ162" i="6"/>
  <c r="BY162" i="6"/>
  <c r="BW162" i="6"/>
  <c r="BU162" i="6"/>
  <c r="BT162" i="6"/>
  <c r="BS162" i="6"/>
  <c r="BR162" i="6"/>
  <c r="BQ162" i="6"/>
  <c r="BP162" i="6"/>
  <c r="BO162" i="6"/>
  <c r="BM162" i="6"/>
  <c r="BK162" i="6"/>
  <c r="BJ162" i="6"/>
  <c r="BH162" i="6"/>
  <c r="BG162" i="6"/>
  <c r="AZ162" i="6"/>
  <c r="BV162" i="6" s="1"/>
  <c r="AP162" i="6"/>
  <c r="AP192" i="6" s="1"/>
  <c r="M162" i="6"/>
  <c r="DQ161" i="6"/>
  <c r="DP161" i="6"/>
  <c r="DO161" i="6"/>
  <c r="DN161" i="6"/>
  <c r="DM161" i="6"/>
  <c r="DL161" i="6"/>
  <c r="DK161" i="6"/>
  <c r="DJ161" i="6"/>
  <c r="DH161" i="6"/>
  <c r="DG161" i="6"/>
  <c r="DE161" i="6"/>
  <c r="DD161" i="6"/>
  <c r="DC161" i="6"/>
  <c r="DB161" i="6"/>
  <c r="CV161" i="6"/>
  <c r="CB161" i="6" s="1"/>
  <c r="BY161" i="6"/>
  <c r="BW161" i="6"/>
  <c r="BV161" i="6"/>
  <c r="BU161" i="6"/>
  <c r="BT161" i="6"/>
  <c r="BS161" i="6"/>
  <c r="BR161" i="6"/>
  <c r="BQ161" i="6"/>
  <c r="BP161" i="6"/>
  <c r="BO161" i="6"/>
  <c r="BM161" i="6"/>
  <c r="BL161" i="6"/>
  <c r="BK161" i="6"/>
  <c r="BJ161" i="6"/>
  <c r="BH161" i="6"/>
  <c r="BG161" i="6"/>
  <c r="BD161" i="6"/>
  <c r="AJ161" i="6" s="1"/>
  <c r="AG161" i="6"/>
  <c r="DQ160" i="6"/>
  <c r="DP160" i="6"/>
  <c r="DO160" i="6"/>
  <c r="DN160" i="6"/>
  <c r="DM160" i="6"/>
  <c r="DL160" i="6"/>
  <c r="DK160" i="6"/>
  <c r="DJ160" i="6"/>
  <c r="DH160" i="6"/>
  <c r="DG160" i="6"/>
  <c r="DD160" i="6"/>
  <c r="DC160" i="6"/>
  <c r="CV160" i="6"/>
  <c r="CF160" i="6"/>
  <c r="BY160" i="6"/>
  <c r="BW160" i="6"/>
  <c r="BV160" i="6"/>
  <c r="BU160" i="6"/>
  <c r="BT160" i="6"/>
  <c r="BS160" i="6"/>
  <c r="BR160" i="6"/>
  <c r="BQ160" i="6"/>
  <c r="BP160" i="6"/>
  <c r="BO160" i="6"/>
  <c r="BL160" i="6"/>
  <c r="BK160" i="6"/>
  <c r="BH160" i="6"/>
  <c r="BG160" i="6"/>
  <c r="BD160" i="6"/>
  <c r="AN160" i="6"/>
  <c r="AG160" i="6"/>
  <c r="T160" i="6"/>
  <c r="Q160" i="6"/>
  <c r="DR159" i="6"/>
  <c r="DQ159" i="6"/>
  <c r="DP159" i="6"/>
  <c r="DO159" i="6"/>
  <c r="DN159" i="6"/>
  <c r="DM159" i="6"/>
  <c r="DL159" i="6"/>
  <c r="DK159" i="6"/>
  <c r="DJ159" i="6"/>
  <c r="DH159" i="6"/>
  <c r="DG159" i="6"/>
  <c r="DD159" i="6"/>
  <c r="DC159" i="6"/>
  <c r="CF159" i="6"/>
  <c r="BZ159" i="6"/>
  <c r="BY159" i="6"/>
  <c r="BW159" i="6"/>
  <c r="BV159" i="6"/>
  <c r="BU159" i="6"/>
  <c r="BT159" i="6"/>
  <c r="BS159" i="6"/>
  <c r="BR159" i="6"/>
  <c r="BQ159" i="6"/>
  <c r="BP159" i="6"/>
  <c r="BO159" i="6"/>
  <c r="BL159" i="6"/>
  <c r="BK159" i="6"/>
  <c r="BH159" i="6"/>
  <c r="BG159" i="6"/>
  <c r="AN159" i="6"/>
  <c r="AJ159" i="6" s="1"/>
  <c r="T159" i="6"/>
  <c r="BM159" i="6" s="1"/>
  <c r="Q159" i="6"/>
  <c r="M159" i="6" s="1"/>
  <c r="DR158" i="6"/>
  <c r="DQ158" i="6"/>
  <c r="DP158" i="6"/>
  <c r="DO158" i="6"/>
  <c r="DN158" i="6"/>
  <c r="DM158" i="6"/>
  <c r="DL158" i="6"/>
  <c r="DK158" i="6"/>
  <c r="DJ158" i="6"/>
  <c r="DH158" i="6"/>
  <c r="DG158" i="6"/>
  <c r="DD158" i="6"/>
  <c r="DC158" i="6"/>
  <c r="DA158" i="6"/>
  <c r="CB158" i="6"/>
  <c r="H158" i="6" s="1"/>
  <c r="BZ158" i="6"/>
  <c r="BY158" i="6"/>
  <c r="BW158" i="6"/>
  <c r="BV158" i="6"/>
  <c r="BU158" i="6"/>
  <c r="BT158" i="6"/>
  <c r="BS158" i="6"/>
  <c r="BR158" i="6"/>
  <c r="BQ158" i="6"/>
  <c r="BP158" i="6"/>
  <c r="BO158" i="6"/>
  <c r="BL158" i="6"/>
  <c r="BK158" i="6"/>
  <c r="BG158" i="6"/>
  <c r="AJ158" i="6"/>
  <c r="T158" i="6"/>
  <c r="BM158" i="6" s="1"/>
  <c r="Q158" i="6"/>
  <c r="BJ158" i="6" s="1"/>
  <c r="O158" i="6"/>
  <c r="DQ157" i="6"/>
  <c r="DP157" i="6"/>
  <c r="DO157" i="6"/>
  <c r="DN157" i="6"/>
  <c r="DM157" i="6"/>
  <c r="DL157" i="6"/>
  <c r="DK157" i="6"/>
  <c r="DJ157" i="6"/>
  <c r="DH157" i="6"/>
  <c r="DG157" i="6"/>
  <c r="DE157" i="6"/>
  <c r="DD157" i="6"/>
  <c r="DC157" i="6"/>
  <c r="DB157" i="6"/>
  <c r="CV157" i="6"/>
  <c r="CB157" i="6" s="1"/>
  <c r="BY157" i="6"/>
  <c r="BW157" i="6"/>
  <c r="BV157" i="6"/>
  <c r="BU157" i="6"/>
  <c r="BT157" i="6"/>
  <c r="BS157" i="6"/>
  <c r="BR157" i="6"/>
  <c r="BQ157" i="6"/>
  <c r="BP157" i="6"/>
  <c r="BO157" i="6"/>
  <c r="BM157" i="6"/>
  <c r="BL157" i="6"/>
  <c r="BK157" i="6"/>
  <c r="BJ157" i="6"/>
  <c r="BH157" i="6"/>
  <c r="BG157" i="6"/>
  <c r="BD157" i="6"/>
  <c r="AJ157" i="6" s="1"/>
  <c r="AG157" i="6"/>
  <c r="DQ156" i="6"/>
  <c r="DP156" i="6"/>
  <c r="DO156" i="6"/>
  <c r="DN156" i="6"/>
  <c r="DM156" i="6"/>
  <c r="DL156" i="6"/>
  <c r="DK156" i="6"/>
  <c r="DJ156" i="6"/>
  <c r="DH156" i="6"/>
  <c r="DG156" i="6"/>
  <c r="DE156" i="6"/>
  <c r="DD156" i="6"/>
  <c r="DC156" i="6"/>
  <c r="DB156" i="6"/>
  <c r="CV156" i="6"/>
  <c r="BY156" i="6"/>
  <c r="BW156" i="6"/>
  <c r="BV156" i="6"/>
  <c r="BU156" i="6"/>
  <c r="BT156" i="6"/>
  <c r="BS156" i="6"/>
  <c r="BR156" i="6"/>
  <c r="BQ156" i="6"/>
  <c r="BP156" i="6"/>
  <c r="BO156" i="6"/>
  <c r="BM156" i="6"/>
  <c r="BL156" i="6"/>
  <c r="BK156" i="6"/>
  <c r="BJ156" i="6"/>
  <c r="BH156" i="6"/>
  <c r="BG156" i="6"/>
  <c r="BD156" i="6"/>
  <c r="AJ156" i="6"/>
  <c r="AG156" i="6"/>
  <c r="M156" i="6" s="1"/>
  <c r="DR155" i="6"/>
  <c r="DQ155" i="6"/>
  <c r="DP155" i="6"/>
  <c r="DO155" i="6"/>
  <c r="DN155" i="6"/>
  <c r="DM155" i="6"/>
  <c r="DL155" i="6"/>
  <c r="DK155" i="6"/>
  <c r="DJ155" i="6"/>
  <c r="DH155" i="6"/>
  <c r="DG155" i="6"/>
  <c r="DD155" i="6"/>
  <c r="DC155" i="6"/>
  <c r="DB155" i="6"/>
  <c r="DA155" i="6"/>
  <c r="CB155" i="6"/>
  <c r="BZ155" i="6"/>
  <c r="BY155" i="6"/>
  <c r="BX155" i="6"/>
  <c r="BX192" i="6" s="1"/>
  <c r="BW155" i="6"/>
  <c r="BV155" i="6"/>
  <c r="BU155" i="6"/>
  <c r="BT155" i="6"/>
  <c r="BS155" i="6"/>
  <c r="BR155" i="6"/>
  <c r="BQ155" i="6"/>
  <c r="BP155" i="6"/>
  <c r="BO155" i="6"/>
  <c r="BL155" i="6"/>
  <c r="BK155" i="6"/>
  <c r="BG155" i="6"/>
  <c r="AJ155" i="6"/>
  <c r="T155" i="6"/>
  <c r="BM155" i="6" s="1"/>
  <c r="Q155" i="6"/>
  <c r="BJ155" i="6" s="1"/>
  <c r="O155" i="6"/>
  <c r="BH155" i="6" s="1"/>
  <c r="DR154" i="6"/>
  <c r="DQ154" i="6"/>
  <c r="DP154" i="6"/>
  <c r="DO154" i="6"/>
  <c r="DN154" i="6"/>
  <c r="DM154" i="6"/>
  <c r="DL154" i="6"/>
  <c r="DK154" i="6"/>
  <c r="DJ154" i="6"/>
  <c r="DH154" i="6"/>
  <c r="DG154" i="6"/>
  <c r="DD154" i="6"/>
  <c r="DC154" i="6"/>
  <c r="CF154" i="6"/>
  <c r="CB154" i="6" s="1"/>
  <c r="BZ154" i="6"/>
  <c r="BY154" i="6"/>
  <c r="BW154" i="6"/>
  <c r="BV154" i="6"/>
  <c r="BU154" i="6"/>
  <c r="BT154" i="6"/>
  <c r="BS154" i="6"/>
  <c r="BR154" i="6"/>
  <c r="BQ154" i="6"/>
  <c r="BP154" i="6"/>
  <c r="BO154" i="6"/>
  <c r="BL154" i="6"/>
  <c r="BK154" i="6"/>
  <c r="BH154" i="6"/>
  <c r="BG154" i="6"/>
  <c r="AN154" i="6"/>
  <c r="AJ154" i="6" s="1"/>
  <c r="T154" i="6"/>
  <c r="Q154" i="6"/>
  <c r="DR153" i="6"/>
  <c r="DQ153" i="6"/>
  <c r="DP153" i="6"/>
  <c r="DO153" i="6"/>
  <c r="DN153" i="6"/>
  <c r="DM153" i="6"/>
  <c r="DL153" i="6"/>
  <c r="DK153" i="6"/>
  <c r="DJ153" i="6"/>
  <c r="DH153" i="6"/>
  <c r="DG153" i="6"/>
  <c r="DE153" i="6"/>
  <c r="DD153" i="6"/>
  <c r="DC153" i="6"/>
  <c r="CB153" i="6"/>
  <c r="H153" i="6" s="1"/>
  <c r="BZ153" i="6"/>
  <c r="BY153" i="6"/>
  <c r="BW153" i="6"/>
  <c r="BV153" i="6"/>
  <c r="BU153" i="6"/>
  <c r="BT153" i="6"/>
  <c r="BS153" i="6"/>
  <c r="BR153" i="6"/>
  <c r="BQ153" i="6"/>
  <c r="BP153" i="6"/>
  <c r="BO153" i="6"/>
  <c r="BM153" i="6"/>
  <c r="BL153" i="6"/>
  <c r="BK153" i="6"/>
  <c r="BH153" i="6"/>
  <c r="BG153" i="6"/>
  <c r="AJ153" i="6"/>
  <c r="Q153" i="6"/>
  <c r="DQ152" i="6"/>
  <c r="DP152" i="6"/>
  <c r="DO152" i="6"/>
  <c r="DN152" i="6"/>
  <c r="DM152" i="6"/>
  <c r="DL152" i="6"/>
  <c r="DK152" i="6"/>
  <c r="DJ152" i="6"/>
  <c r="DH152" i="6"/>
  <c r="DG152" i="6"/>
  <c r="DE152" i="6"/>
  <c r="DD152" i="6"/>
  <c r="DC152" i="6"/>
  <c r="DB152" i="6"/>
  <c r="CB152" i="6"/>
  <c r="H152" i="6" s="1"/>
  <c r="BY152" i="6"/>
  <c r="BW152" i="6"/>
  <c r="BV152" i="6"/>
  <c r="BU152" i="6"/>
  <c r="BT152" i="6"/>
  <c r="BS152" i="6"/>
  <c r="BR152" i="6"/>
  <c r="BQ152" i="6"/>
  <c r="BP152" i="6"/>
  <c r="BO152" i="6"/>
  <c r="BM152" i="6"/>
  <c r="BL152" i="6"/>
  <c r="BK152" i="6"/>
  <c r="BJ152" i="6"/>
  <c r="BH152" i="6"/>
  <c r="BG152" i="6"/>
  <c r="BD152" i="6"/>
  <c r="AJ152" i="6"/>
  <c r="AG152" i="6"/>
  <c r="M152" i="6" s="1"/>
  <c r="DR151" i="6"/>
  <c r="DQ151" i="6"/>
  <c r="DP151" i="6"/>
  <c r="DO151" i="6"/>
  <c r="DN151" i="6"/>
  <c r="DM151" i="6"/>
  <c r="DL151" i="6"/>
  <c r="DK151" i="6"/>
  <c r="DJ151" i="6"/>
  <c r="DH151" i="6"/>
  <c r="DG151" i="6"/>
  <c r="DE151" i="6"/>
  <c r="DD151" i="6"/>
  <c r="DC151" i="6"/>
  <c r="CB151" i="6"/>
  <c r="H151" i="6" s="1"/>
  <c r="BZ151" i="6"/>
  <c r="BY151" i="6"/>
  <c r="BW151" i="6"/>
  <c r="BV151" i="6"/>
  <c r="BU151" i="6"/>
  <c r="BT151" i="6"/>
  <c r="BS151" i="6"/>
  <c r="BR151" i="6"/>
  <c r="BQ151" i="6"/>
  <c r="BP151" i="6"/>
  <c r="BO151" i="6"/>
  <c r="BM151" i="6"/>
  <c r="BL151" i="6"/>
  <c r="BK151" i="6"/>
  <c r="BH151" i="6"/>
  <c r="BG151" i="6"/>
  <c r="AN151" i="6"/>
  <c r="AJ151" i="6" s="1"/>
  <c r="Q151" i="6"/>
  <c r="DR150" i="6"/>
  <c r="DQ150" i="6"/>
  <c r="DP150" i="6"/>
  <c r="DO150" i="6"/>
  <c r="DN150" i="6"/>
  <c r="DM150" i="6"/>
  <c r="DL150" i="6"/>
  <c r="DK150" i="6"/>
  <c r="DJ150" i="6"/>
  <c r="DH150" i="6"/>
  <c r="DG150" i="6"/>
  <c r="DE150" i="6"/>
  <c r="DD150" i="6"/>
  <c r="DC150" i="6"/>
  <c r="CF150" i="6"/>
  <c r="CB150" i="6"/>
  <c r="H150" i="6" s="1"/>
  <c r="BZ150" i="6"/>
  <c r="BY150" i="6"/>
  <c r="BW150" i="6"/>
  <c r="BV150" i="6"/>
  <c r="BU150" i="6"/>
  <c r="BT150" i="6"/>
  <c r="BS150" i="6"/>
  <c r="BR150" i="6"/>
  <c r="BQ150" i="6"/>
  <c r="BP150" i="6"/>
  <c r="BO150" i="6"/>
  <c r="BM150" i="6"/>
  <c r="BL150" i="6"/>
  <c r="BK150" i="6"/>
  <c r="BH150" i="6"/>
  <c r="BG150" i="6"/>
  <c r="AN150" i="6"/>
  <c r="AJ150" i="6" s="1"/>
  <c r="Q150" i="6"/>
  <c r="DR149" i="6"/>
  <c r="DQ149" i="6"/>
  <c r="DP149" i="6"/>
  <c r="DO149" i="6"/>
  <c r="DN149" i="6"/>
  <c r="DM149" i="6"/>
  <c r="DL149" i="6"/>
  <c r="DK149" i="6"/>
  <c r="DJ149" i="6"/>
  <c r="DH149" i="6"/>
  <c r="DG149" i="6"/>
  <c r="DE149" i="6"/>
  <c r="DD149" i="6"/>
  <c r="CF149" i="6"/>
  <c r="CB149" i="6" s="1"/>
  <c r="BZ149" i="6"/>
  <c r="BY149" i="6"/>
  <c r="BW149" i="6"/>
  <c r="BV149" i="6"/>
  <c r="BU149" i="6"/>
  <c r="BT149" i="6"/>
  <c r="BS149" i="6"/>
  <c r="BR149" i="6"/>
  <c r="BQ149" i="6"/>
  <c r="BP149" i="6"/>
  <c r="BO149" i="6"/>
  <c r="BM149" i="6"/>
  <c r="BL149" i="6"/>
  <c r="BH149" i="6"/>
  <c r="BG149" i="6"/>
  <c r="AN149" i="6"/>
  <c r="AJ149" i="6" s="1"/>
  <c r="R149" i="6"/>
  <c r="Q149" i="6"/>
  <c r="DR148" i="6"/>
  <c r="DQ148" i="6"/>
  <c r="DP148" i="6"/>
  <c r="DO148" i="6"/>
  <c r="DN148" i="6"/>
  <c r="DM148" i="6"/>
  <c r="DL148" i="6"/>
  <c r="DK148" i="6"/>
  <c r="DJ148" i="6"/>
  <c r="DH148" i="6"/>
  <c r="DG148" i="6"/>
  <c r="DE148" i="6"/>
  <c r="DD148" i="6"/>
  <c r="DC148" i="6"/>
  <c r="CB148" i="6"/>
  <c r="H148" i="6" s="1"/>
  <c r="BZ148" i="6"/>
  <c r="BY148" i="6"/>
  <c r="BW148" i="6"/>
  <c r="BV148" i="6"/>
  <c r="BU148" i="6"/>
  <c r="BT148" i="6"/>
  <c r="BS148" i="6"/>
  <c r="BR148" i="6"/>
  <c r="BQ148" i="6"/>
  <c r="BP148" i="6"/>
  <c r="BO148" i="6"/>
  <c r="BM148" i="6"/>
  <c r="BL148" i="6"/>
  <c r="BK148" i="6"/>
  <c r="BH148" i="6"/>
  <c r="BG148" i="6"/>
  <c r="AN148" i="6"/>
  <c r="AJ148" i="6" s="1"/>
  <c r="Q148" i="6"/>
  <c r="DB148" i="6" s="1"/>
  <c r="CX148" i="6" s="1"/>
  <c r="DR147" i="6"/>
  <c r="DQ147" i="6"/>
  <c r="DP147" i="6"/>
  <c r="DO147" i="6"/>
  <c r="DN147" i="6"/>
  <c r="DM147" i="6"/>
  <c r="DL147" i="6"/>
  <c r="DK147" i="6"/>
  <c r="DJ147" i="6"/>
  <c r="DH147" i="6"/>
  <c r="DG147" i="6"/>
  <c r="DE147" i="6"/>
  <c r="DD147" i="6"/>
  <c r="DC147" i="6"/>
  <c r="CF147" i="6"/>
  <c r="CB147" i="6" s="1"/>
  <c r="H147" i="6" s="1"/>
  <c r="BZ147" i="6"/>
  <c r="BY147" i="6"/>
  <c r="BW147" i="6"/>
  <c r="BV147" i="6"/>
  <c r="BU147" i="6"/>
  <c r="BT147" i="6"/>
  <c r="BS147" i="6"/>
  <c r="BR147" i="6"/>
  <c r="BQ147" i="6"/>
  <c r="BP147" i="6"/>
  <c r="BO147" i="6"/>
  <c r="BM147" i="6"/>
  <c r="BL147" i="6"/>
  <c r="BK147" i="6"/>
  <c r="BH147" i="6"/>
  <c r="BG147" i="6"/>
  <c r="AN147" i="6"/>
  <c r="AJ147" i="6" s="1"/>
  <c r="Q147" i="6"/>
  <c r="DR146" i="6"/>
  <c r="DQ146" i="6"/>
  <c r="DP146" i="6"/>
  <c r="DO146" i="6"/>
  <c r="DN146" i="6"/>
  <c r="DM146" i="6"/>
  <c r="DL146" i="6"/>
  <c r="DK146" i="6"/>
  <c r="DJ146" i="6"/>
  <c r="DH146" i="6"/>
  <c r="DG146" i="6"/>
  <c r="DE146" i="6"/>
  <c r="DD146" i="6"/>
  <c r="DC146" i="6"/>
  <c r="CB146" i="6"/>
  <c r="H146" i="6" s="1"/>
  <c r="BZ146" i="6"/>
  <c r="BY146" i="6"/>
  <c r="BW146" i="6"/>
  <c r="BV146" i="6"/>
  <c r="BU146" i="6"/>
  <c r="BT146" i="6"/>
  <c r="BS146" i="6"/>
  <c r="BR146" i="6"/>
  <c r="BQ146" i="6"/>
  <c r="BP146" i="6"/>
  <c r="BO146" i="6"/>
  <c r="BM146" i="6"/>
  <c r="BL146" i="6"/>
  <c r="BK146" i="6"/>
  <c r="BH146" i="6"/>
  <c r="BG146" i="6"/>
  <c r="AJ146" i="6"/>
  <c r="Q146" i="6"/>
  <c r="DR145" i="6"/>
  <c r="DP145" i="6"/>
  <c r="DO145" i="6"/>
  <c r="DN145" i="6"/>
  <c r="DM145" i="6"/>
  <c r="DL145" i="6"/>
  <c r="DK145" i="6"/>
  <c r="DH145" i="6"/>
  <c r="DG145" i="6"/>
  <c r="DE145" i="6"/>
  <c r="DD145" i="6"/>
  <c r="DC145" i="6"/>
  <c r="CN145" i="6"/>
  <c r="CF145" i="6"/>
  <c r="BZ145" i="6"/>
  <c r="BY145" i="6"/>
  <c r="BW145" i="6"/>
  <c r="BV145" i="6"/>
  <c r="BU145" i="6"/>
  <c r="BT145" i="6"/>
  <c r="BS145" i="6"/>
  <c r="BQ145" i="6"/>
  <c r="BP145" i="6"/>
  <c r="BO145" i="6"/>
  <c r="BM145" i="6"/>
  <c r="BL145" i="6"/>
  <c r="BK145" i="6"/>
  <c r="BH145" i="6"/>
  <c r="BG145" i="6"/>
  <c r="AV145" i="6"/>
  <c r="AN145" i="6"/>
  <c r="AJ145" i="6" s="1"/>
  <c r="Q145" i="6"/>
  <c r="M145" i="6"/>
  <c r="DR144" i="6"/>
  <c r="DP144" i="6"/>
  <c r="DO144" i="6"/>
  <c r="DN144" i="6"/>
  <c r="DM144" i="6"/>
  <c r="DL144" i="6"/>
  <c r="DK144" i="6"/>
  <c r="DJ144" i="6"/>
  <c r="DH144" i="6"/>
  <c r="DG144" i="6"/>
  <c r="DE144" i="6"/>
  <c r="DD144" i="6"/>
  <c r="DC144" i="6"/>
  <c r="CF144" i="6"/>
  <c r="CB144" i="6" s="1"/>
  <c r="BZ144" i="6"/>
  <c r="BY144" i="6"/>
  <c r="BW144" i="6"/>
  <c r="BV144" i="6"/>
  <c r="BU144" i="6"/>
  <c r="BT144" i="6"/>
  <c r="BS144" i="6"/>
  <c r="BR144" i="6"/>
  <c r="BQ144" i="6"/>
  <c r="BP144" i="6"/>
  <c r="BO144" i="6"/>
  <c r="BM144" i="6"/>
  <c r="BL144" i="6"/>
  <c r="BK144" i="6"/>
  <c r="BH144" i="6"/>
  <c r="BG144" i="6"/>
  <c r="AJ144" i="6"/>
  <c r="Q144" i="6"/>
  <c r="CB143" i="6"/>
  <c r="AJ143" i="6"/>
  <c r="Q143" i="6"/>
  <c r="BJ143" i="6" s="1"/>
  <c r="BF143" i="6" s="1"/>
  <c r="DP142" i="6"/>
  <c r="DO142" i="6"/>
  <c r="DN142" i="6"/>
  <c r="DM142" i="6"/>
  <c r="DL142" i="6"/>
  <c r="DK142" i="6"/>
  <c r="DJ142" i="6"/>
  <c r="DH142" i="6"/>
  <c r="DG142" i="6"/>
  <c r="DE142" i="6"/>
  <c r="DD142" i="6"/>
  <c r="DC142" i="6"/>
  <c r="DB142" i="6"/>
  <c r="CV142" i="6"/>
  <c r="BY142" i="6"/>
  <c r="BW142" i="6"/>
  <c r="BV142" i="6"/>
  <c r="BU142" i="6"/>
  <c r="BT142" i="6"/>
  <c r="BS142" i="6"/>
  <c r="BR142" i="6"/>
  <c r="BQ142" i="6"/>
  <c r="BP142" i="6"/>
  <c r="BO142" i="6"/>
  <c r="BM142" i="6"/>
  <c r="BL142" i="6"/>
  <c r="BK142" i="6"/>
  <c r="BJ142" i="6"/>
  <c r="BH142" i="6"/>
  <c r="BG142" i="6"/>
  <c r="BD142" i="6"/>
  <c r="BZ142" i="6" s="1"/>
  <c r="AG142" i="6"/>
  <c r="M142" i="6"/>
  <c r="DR141" i="6"/>
  <c r="DP141" i="6"/>
  <c r="DO141" i="6"/>
  <c r="DN141" i="6"/>
  <c r="DM141" i="6"/>
  <c r="DL141" i="6"/>
  <c r="DK141" i="6"/>
  <c r="DJ141" i="6"/>
  <c r="DH141" i="6"/>
  <c r="DG141" i="6"/>
  <c r="DE141" i="6"/>
  <c r="DD141" i="6"/>
  <c r="DC141" i="6"/>
  <c r="CB141" i="6"/>
  <c r="H141" i="6" s="1"/>
  <c r="BZ141" i="6"/>
  <c r="BY141" i="6"/>
  <c r="BW141" i="6"/>
  <c r="BV141" i="6"/>
  <c r="BU141" i="6"/>
  <c r="BT141" i="6"/>
  <c r="BS141" i="6"/>
  <c r="BR141" i="6"/>
  <c r="BQ141" i="6"/>
  <c r="BP141" i="6"/>
  <c r="BO141" i="6"/>
  <c r="BM141" i="6"/>
  <c r="BL141" i="6"/>
  <c r="BK141" i="6"/>
  <c r="BH141" i="6"/>
  <c r="BG141" i="6"/>
  <c r="AJ141" i="6"/>
  <c r="Q141" i="6"/>
  <c r="BJ141" i="6" s="1"/>
  <c r="M141" i="6"/>
  <c r="DR140" i="6"/>
  <c r="DP140" i="6"/>
  <c r="DO140" i="6"/>
  <c r="DN140" i="6"/>
  <c r="DM140" i="6"/>
  <c r="DL140" i="6"/>
  <c r="DK140" i="6"/>
  <c r="DJ140" i="6"/>
  <c r="DH140" i="6"/>
  <c r="DG140" i="6"/>
  <c r="DE140" i="6"/>
  <c r="DD140" i="6"/>
  <c r="DC140" i="6"/>
  <c r="CF140" i="6"/>
  <c r="CB140" i="6" s="1"/>
  <c r="H140" i="6" s="1"/>
  <c r="BZ140" i="6"/>
  <c r="BY140" i="6"/>
  <c r="BW140" i="6"/>
  <c r="BV140" i="6"/>
  <c r="BU140" i="6"/>
  <c r="BT140" i="6"/>
  <c r="BS140" i="6"/>
  <c r="BR140" i="6"/>
  <c r="BQ140" i="6"/>
  <c r="BP140" i="6"/>
  <c r="BO140" i="6"/>
  <c r="BM140" i="6"/>
  <c r="BL140" i="6"/>
  <c r="BK140" i="6"/>
  <c r="BH140" i="6"/>
  <c r="BG140" i="6"/>
  <c r="AN140" i="6"/>
  <c r="AJ140" i="6" s="1"/>
  <c r="Q140" i="6"/>
  <c r="DR139" i="6"/>
  <c r="DP139" i="6"/>
  <c r="DO139" i="6"/>
  <c r="DN139" i="6"/>
  <c r="DM139" i="6"/>
  <c r="DL139" i="6"/>
  <c r="DK139" i="6"/>
  <c r="DJ139" i="6"/>
  <c r="DH139" i="6"/>
  <c r="DG139" i="6"/>
  <c r="DE139" i="6"/>
  <c r="DD139" i="6"/>
  <c r="DC139" i="6"/>
  <c r="CF139" i="6"/>
  <c r="CB139" i="6" s="1"/>
  <c r="H139" i="6" s="1"/>
  <c r="BZ139" i="6"/>
  <c r="BY139" i="6"/>
  <c r="BW139" i="6"/>
  <c r="BV139" i="6"/>
  <c r="BU139" i="6"/>
  <c r="BT139" i="6"/>
  <c r="BS139" i="6"/>
  <c r="BR139" i="6"/>
  <c r="BQ139" i="6"/>
  <c r="BP139" i="6"/>
  <c r="BO139" i="6"/>
  <c r="BM139" i="6"/>
  <c r="BL139" i="6"/>
  <c r="BK139" i="6"/>
  <c r="BH139" i="6"/>
  <c r="BG139" i="6"/>
  <c r="AN139" i="6"/>
  <c r="AJ139" i="6" s="1"/>
  <c r="Q139" i="6"/>
  <c r="DR138" i="6"/>
  <c r="DP138" i="6"/>
  <c r="DO138" i="6"/>
  <c r="DN138" i="6"/>
  <c r="DM138" i="6"/>
  <c r="DL138" i="6"/>
  <c r="DK138" i="6"/>
  <c r="DJ138" i="6"/>
  <c r="DH138" i="6"/>
  <c r="DG138" i="6"/>
  <c r="DE138" i="6"/>
  <c r="DD138" i="6"/>
  <c r="DC138" i="6"/>
  <c r="CB138" i="6"/>
  <c r="H138" i="6" s="1"/>
  <c r="BZ138" i="6"/>
  <c r="BY138" i="6"/>
  <c r="BW138" i="6"/>
  <c r="BV138" i="6"/>
  <c r="BU138" i="6"/>
  <c r="BT138" i="6"/>
  <c r="BS138" i="6"/>
  <c r="BR138" i="6"/>
  <c r="BQ138" i="6"/>
  <c r="BP138" i="6"/>
  <c r="BO138" i="6"/>
  <c r="BM138" i="6"/>
  <c r="BL138" i="6"/>
  <c r="BK138" i="6"/>
  <c r="BH138" i="6"/>
  <c r="BG138" i="6"/>
  <c r="AJ138" i="6"/>
  <c r="Q138" i="6"/>
  <c r="DB138" i="6" s="1"/>
  <c r="DR137" i="6"/>
  <c r="DP137" i="6"/>
  <c r="DO137" i="6"/>
  <c r="DN137" i="6"/>
  <c r="DM137" i="6"/>
  <c r="DL137" i="6"/>
  <c r="DK137" i="6"/>
  <c r="DJ137" i="6"/>
  <c r="DH137" i="6"/>
  <c r="DG137" i="6"/>
  <c r="DE137" i="6"/>
  <c r="DD137" i="6"/>
  <c r="DC137" i="6"/>
  <c r="CB137" i="6"/>
  <c r="H137" i="6" s="1"/>
  <c r="BZ137" i="6"/>
  <c r="BY137" i="6"/>
  <c r="BW137" i="6"/>
  <c r="BV137" i="6"/>
  <c r="BU137" i="6"/>
  <c r="BT137" i="6"/>
  <c r="BS137" i="6"/>
  <c r="BR137" i="6"/>
  <c r="BQ137" i="6"/>
  <c r="BP137" i="6"/>
  <c r="BO137" i="6"/>
  <c r="BM137" i="6"/>
  <c r="BL137" i="6"/>
  <c r="BK137" i="6"/>
  <c r="BH137" i="6"/>
  <c r="BG137" i="6"/>
  <c r="AJ137" i="6"/>
  <c r="Q137" i="6"/>
  <c r="M137" i="6" s="1"/>
  <c r="DR136" i="6"/>
  <c r="DP136" i="6"/>
  <c r="DO136" i="6"/>
  <c r="DN136" i="6"/>
  <c r="DM136" i="6"/>
  <c r="DL136" i="6"/>
  <c r="DK136" i="6"/>
  <c r="DJ136" i="6"/>
  <c r="DH136" i="6"/>
  <c r="DG136" i="6"/>
  <c r="DE136" i="6"/>
  <c r="DD136" i="6"/>
  <c r="DC136" i="6"/>
  <c r="CB136" i="6"/>
  <c r="BZ136" i="6"/>
  <c r="BY136" i="6"/>
  <c r="BW136" i="6"/>
  <c r="BV136" i="6"/>
  <c r="BU136" i="6"/>
  <c r="BT136" i="6"/>
  <c r="BS136" i="6"/>
  <c r="BR136" i="6"/>
  <c r="BQ136" i="6"/>
  <c r="BP136" i="6"/>
  <c r="BO136" i="6"/>
  <c r="BM136" i="6"/>
  <c r="BL136" i="6"/>
  <c r="BK136" i="6"/>
  <c r="BH136" i="6"/>
  <c r="BG136" i="6"/>
  <c r="AJ136" i="6"/>
  <c r="Q136" i="6"/>
  <c r="DR135" i="6"/>
  <c r="DP135" i="6"/>
  <c r="DO135" i="6"/>
  <c r="DN135" i="6"/>
  <c r="DM135" i="6"/>
  <c r="DL135" i="6"/>
  <c r="DK135" i="6"/>
  <c r="DJ135" i="6"/>
  <c r="DH135" i="6"/>
  <c r="DG135" i="6"/>
  <c r="DE135" i="6"/>
  <c r="DD135" i="6"/>
  <c r="DC135" i="6"/>
  <c r="CB135" i="6"/>
  <c r="BZ135" i="6"/>
  <c r="BY135" i="6"/>
  <c r="BW135" i="6"/>
  <c r="BV135" i="6"/>
  <c r="BU135" i="6"/>
  <c r="BT135" i="6"/>
  <c r="BS135" i="6"/>
  <c r="BR135" i="6"/>
  <c r="BQ135" i="6"/>
  <c r="BP135" i="6"/>
  <c r="BO135" i="6"/>
  <c r="BM135" i="6"/>
  <c r="BL135" i="6"/>
  <c r="BK135" i="6"/>
  <c r="BH135" i="6"/>
  <c r="BG135" i="6"/>
  <c r="AJ135" i="6"/>
  <c r="Q135" i="6"/>
  <c r="BJ135" i="6" s="1"/>
  <c r="M135" i="6"/>
  <c r="DR134" i="6"/>
  <c r="DP134" i="6"/>
  <c r="DO134" i="6"/>
  <c r="DN134" i="6"/>
  <c r="DM134" i="6"/>
  <c r="DL134" i="6"/>
  <c r="DK134" i="6"/>
  <c r="DJ134" i="6"/>
  <c r="DH134" i="6"/>
  <c r="DG134" i="6"/>
  <c r="DE134" i="6"/>
  <c r="DD134" i="6"/>
  <c r="DC134" i="6"/>
  <c r="CB134" i="6"/>
  <c r="H134" i="6" s="1"/>
  <c r="BZ134" i="6"/>
  <c r="BY134" i="6"/>
  <c r="BW134" i="6"/>
  <c r="BV134" i="6"/>
  <c r="BU134" i="6"/>
  <c r="BT134" i="6"/>
  <c r="BS134" i="6"/>
  <c r="BR134" i="6"/>
  <c r="BQ134" i="6"/>
  <c r="BP134" i="6"/>
  <c r="BO134" i="6"/>
  <c r="BM134" i="6"/>
  <c r="BL134" i="6"/>
  <c r="BK134" i="6"/>
  <c r="BH134" i="6"/>
  <c r="BG134" i="6"/>
  <c r="AN134" i="6"/>
  <c r="AJ134" i="6" s="1"/>
  <c r="Q134" i="6"/>
  <c r="DB134" i="6" s="1"/>
  <c r="DR133" i="6"/>
  <c r="DP133" i="6"/>
  <c r="DO133" i="6"/>
  <c r="DN133" i="6"/>
  <c r="DM133" i="6"/>
  <c r="DL133" i="6"/>
  <c r="DK133" i="6"/>
  <c r="DJ133" i="6"/>
  <c r="DH133" i="6"/>
  <c r="DG133" i="6"/>
  <c r="DE133" i="6"/>
  <c r="DD133" i="6"/>
  <c r="DC133" i="6"/>
  <c r="DB133" i="6"/>
  <c r="CB133" i="6"/>
  <c r="H133" i="6" s="1"/>
  <c r="BZ133" i="6"/>
  <c r="BY133" i="6"/>
  <c r="BW133" i="6"/>
  <c r="BV133" i="6"/>
  <c r="BU133" i="6"/>
  <c r="BT133" i="6"/>
  <c r="BS133" i="6"/>
  <c r="BR133" i="6"/>
  <c r="BQ133" i="6"/>
  <c r="BP133" i="6"/>
  <c r="BO133" i="6"/>
  <c r="BM133" i="6"/>
  <c r="BL133" i="6"/>
  <c r="BK133" i="6"/>
  <c r="BJ133" i="6"/>
  <c r="BH133" i="6"/>
  <c r="BG133" i="6"/>
  <c r="AJ133" i="6"/>
  <c r="Q133" i="6"/>
  <c r="M133" i="6"/>
  <c r="DR132" i="6"/>
  <c r="DP132" i="6"/>
  <c r="DO132" i="6"/>
  <c r="DN132" i="6"/>
  <c r="DM132" i="6"/>
  <c r="DL132" i="6"/>
  <c r="DK132" i="6"/>
  <c r="DJ132" i="6"/>
  <c r="DH132" i="6"/>
  <c r="DG132" i="6"/>
  <c r="DE132" i="6"/>
  <c r="DD132" i="6"/>
  <c r="DC132" i="6"/>
  <c r="DB132" i="6"/>
  <c r="CB132" i="6"/>
  <c r="H132" i="6" s="1"/>
  <c r="BZ132" i="6"/>
  <c r="BY132" i="6"/>
  <c r="BW132" i="6"/>
  <c r="BV132" i="6"/>
  <c r="BU132" i="6"/>
  <c r="BT132" i="6"/>
  <c r="BS132" i="6"/>
  <c r="BR132" i="6"/>
  <c r="BQ132" i="6"/>
  <c r="BP132" i="6"/>
  <c r="BO132" i="6"/>
  <c r="BM132" i="6"/>
  <c r="BL132" i="6"/>
  <c r="BK132" i="6"/>
  <c r="BH132" i="6"/>
  <c r="BG132" i="6"/>
  <c r="AJ132" i="6"/>
  <c r="Q132" i="6"/>
  <c r="BJ132" i="6" s="1"/>
  <c r="M132" i="6"/>
  <c r="DR131" i="6"/>
  <c r="DP131" i="6"/>
  <c r="DO131" i="6"/>
  <c r="DN131" i="6"/>
  <c r="DM131" i="6"/>
  <c r="DL131" i="6"/>
  <c r="DK131" i="6"/>
  <c r="DJ131" i="6"/>
  <c r="DH131" i="6"/>
  <c r="DG131" i="6"/>
  <c r="DE131" i="6"/>
  <c r="DD131" i="6"/>
  <c r="DC131" i="6"/>
  <c r="CB131" i="6"/>
  <c r="BZ131" i="6"/>
  <c r="BY131" i="6"/>
  <c r="BW131" i="6"/>
  <c r="BV131" i="6"/>
  <c r="BU131" i="6"/>
  <c r="BT131" i="6"/>
  <c r="BS131" i="6"/>
  <c r="BR131" i="6"/>
  <c r="BQ131" i="6"/>
  <c r="BP131" i="6"/>
  <c r="BO131" i="6"/>
  <c r="BM131" i="6"/>
  <c r="BL131" i="6"/>
  <c r="BK131" i="6"/>
  <c r="BH131" i="6"/>
  <c r="BG131" i="6"/>
  <c r="AJ131" i="6"/>
  <c r="Q131" i="6"/>
  <c r="M131" i="6"/>
  <c r="DR130" i="6"/>
  <c r="DP130" i="6"/>
  <c r="DO130" i="6"/>
  <c r="DN130" i="6"/>
  <c r="DM130" i="6"/>
  <c r="DL130" i="6"/>
  <c r="DK130" i="6"/>
  <c r="DJ130" i="6"/>
  <c r="DI130" i="6"/>
  <c r="DH130" i="6"/>
  <c r="DG130" i="6"/>
  <c r="DE130" i="6"/>
  <c r="DD130" i="6"/>
  <c r="DC130" i="6"/>
  <c r="DB130" i="6"/>
  <c r="CB130" i="6"/>
  <c r="H130" i="6" s="1"/>
  <c r="BZ130" i="6"/>
  <c r="BY130" i="6"/>
  <c r="BW130" i="6"/>
  <c r="BV130" i="6"/>
  <c r="BU130" i="6"/>
  <c r="BT130" i="6"/>
  <c r="BS130" i="6"/>
  <c r="BR130" i="6"/>
  <c r="BQ130" i="6"/>
  <c r="BP130" i="6"/>
  <c r="BO130" i="6"/>
  <c r="BM130" i="6"/>
  <c r="BL130" i="6"/>
  <c r="BK130" i="6"/>
  <c r="BJ130" i="6"/>
  <c r="BH130" i="6"/>
  <c r="BG130" i="6"/>
  <c r="AJ130" i="6"/>
  <c r="M130" i="6"/>
  <c r="AI130" i="6" s="1"/>
  <c r="BE130" i="6" s="1"/>
  <c r="DR129" i="6"/>
  <c r="DP129" i="6"/>
  <c r="DO129" i="6"/>
  <c r="DN129" i="6"/>
  <c r="DM129" i="6"/>
  <c r="DL129" i="6"/>
  <c r="DK129" i="6"/>
  <c r="DJ129" i="6"/>
  <c r="DI129" i="6"/>
  <c r="DH129" i="6"/>
  <c r="DG129" i="6"/>
  <c r="DE129" i="6"/>
  <c r="DD129" i="6"/>
  <c r="DC129" i="6"/>
  <c r="CB129" i="6"/>
  <c r="BZ129" i="6"/>
  <c r="BY129" i="6"/>
  <c r="BX129" i="6"/>
  <c r="BW129" i="6"/>
  <c r="BV129" i="6"/>
  <c r="BU129" i="6"/>
  <c r="BT129" i="6"/>
  <c r="BS129" i="6"/>
  <c r="BR129" i="6"/>
  <c r="BQ129" i="6"/>
  <c r="BP129" i="6"/>
  <c r="BO129" i="6"/>
  <c r="BM129" i="6"/>
  <c r="BL129" i="6"/>
  <c r="BK129" i="6"/>
  <c r="BJ129" i="6"/>
  <c r="BH129" i="6"/>
  <c r="BG129" i="6"/>
  <c r="AJ129" i="6"/>
  <c r="Q129" i="6"/>
  <c r="DB129" i="6" s="1"/>
  <c r="M129" i="6"/>
  <c r="DR128" i="6"/>
  <c r="DP128" i="6"/>
  <c r="DO128" i="6"/>
  <c r="DN128" i="6"/>
  <c r="DM128" i="6"/>
  <c r="DL128" i="6"/>
  <c r="DK128" i="6"/>
  <c r="DJ128" i="6"/>
  <c r="DH128" i="6"/>
  <c r="DG128" i="6"/>
  <c r="DE128" i="6"/>
  <c r="DD128" i="6"/>
  <c r="DC128" i="6"/>
  <c r="CB128" i="6"/>
  <c r="BZ128" i="6"/>
  <c r="BW128" i="6"/>
  <c r="BV128" i="6"/>
  <c r="BU128" i="6"/>
  <c r="BT128" i="6"/>
  <c r="BS128" i="6"/>
  <c r="BR128" i="6"/>
  <c r="BQ128" i="6"/>
  <c r="BP128" i="6"/>
  <c r="BO128" i="6"/>
  <c r="BM128" i="6"/>
  <c r="BL128" i="6"/>
  <c r="BK128" i="6"/>
  <c r="BH128" i="6"/>
  <c r="BG128" i="6"/>
  <c r="AJ128" i="6"/>
  <c r="Q128" i="6"/>
  <c r="M128" i="6" s="1"/>
  <c r="DR127" i="6"/>
  <c r="DP127" i="6"/>
  <c r="DO127" i="6"/>
  <c r="DN127" i="6"/>
  <c r="DM127" i="6"/>
  <c r="DL127" i="6"/>
  <c r="DK127" i="6"/>
  <c r="DJ127" i="6"/>
  <c r="DH127" i="6"/>
  <c r="DG127" i="6"/>
  <c r="DE127" i="6"/>
  <c r="DD127" i="6"/>
  <c r="CG127" i="6"/>
  <c r="CF127" i="6"/>
  <c r="CB127" i="6" s="1"/>
  <c r="BZ127" i="6"/>
  <c r="BW127" i="6"/>
  <c r="BV127" i="6"/>
  <c r="BU127" i="6"/>
  <c r="BT127" i="6"/>
  <c r="BS127" i="6"/>
  <c r="BR127" i="6"/>
  <c r="BQ127" i="6"/>
  <c r="BP127" i="6"/>
  <c r="BO127" i="6"/>
  <c r="BM127" i="6"/>
  <c r="BL127" i="6"/>
  <c r="BH127" i="6"/>
  <c r="BG127" i="6"/>
  <c r="AO127" i="6"/>
  <c r="AN127" i="6"/>
  <c r="R127" i="6"/>
  <c r="Q127" i="6"/>
  <c r="DR126" i="6"/>
  <c r="DP126" i="6"/>
  <c r="DO126" i="6"/>
  <c r="DN126" i="6"/>
  <c r="DM126" i="6"/>
  <c r="DL126" i="6"/>
  <c r="DK126" i="6"/>
  <c r="DJ126" i="6"/>
  <c r="DH126" i="6"/>
  <c r="DG126" i="6"/>
  <c r="DE126" i="6"/>
  <c r="DD126" i="6"/>
  <c r="DC126" i="6"/>
  <c r="CB126" i="6"/>
  <c r="H126" i="6" s="1"/>
  <c r="BZ126" i="6"/>
  <c r="BW126" i="6"/>
  <c r="BV126" i="6"/>
  <c r="BU126" i="6"/>
  <c r="BT126" i="6"/>
  <c r="BS126" i="6"/>
  <c r="BR126" i="6"/>
  <c r="BQ126" i="6"/>
  <c r="BP126" i="6"/>
  <c r="BO126" i="6"/>
  <c r="BM126" i="6"/>
  <c r="BL126" i="6"/>
  <c r="BK126" i="6"/>
  <c r="BH126" i="6"/>
  <c r="BG126" i="6"/>
  <c r="AN126" i="6"/>
  <c r="Q126" i="6"/>
  <c r="DR125" i="6"/>
  <c r="DP125" i="6"/>
  <c r="DO125" i="6"/>
  <c r="DN125" i="6"/>
  <c r="DM125" i="6"/>
  <c r="DL125" i="6"/>
  <c r="DK125" i="6"/>
  <c r="DJ125" i="6"/>
  <c r="DH125" i="6"/>
  <c r="DG125" i="6"/>
  <c r="DE125" i="6"/>
  <c r="DD125" i="6"/>
  <c r="DC125" i="6"/>
  <c r="DB125" i="6"/>
  <c r="CB125" i="6"/>
  <c r="BZ125" i="6"/>
  <c r="BW125" i="6"/>
  <c r="BV125" i="6"/>
  <c r="BU125" i="6"/>
  <c r="BT125" i="6"/>
  <c r="BS125" i="6"/>
  <c r="BR125" i="6"/>
  <c r="BQ125" i="6"/>
  <c r="BP125" i="6"/>
  <c r="BO125" i="6"/>
  <c r="BM125" i="6"/>
  <c r="BL125" i="6"/>
  <c r="BK125" i="6"/>
  <c r="BJ125" i="6"/>
  <c r="BH125" i="6"/>
  <c r="BG125" i="6"/>
  <c r="AJ125" i="6"/>
  <c r="M125" i="6"/>
  <c r="DR124" i="6"/>
  <c r="DP124" i="6"/>
  <c r="DO124" i="6"/>
  <c r="DN124" i="6"/>
  <c r="DM124" i="6"/>
  <c r="DL124" i="6"/>
  <c r="DK124" i="6"/>
  <c r="DJ124" i="6"/>
  <c r="DH124" i="6"/>
  <c r="DG124" i="6"/>
  <c r="DE124" i="6"/>
  <c r="DC124" i="6"/>
  <c r="CB124" i="6"/>
  <c r="BZ124" i="6"/>
  <c r="BW124" i="6"/>
  <c r="BV124" i="6"/>
  <c r="BU124" i="6"/>
  <c r="BT124" i="6"/>
  <c r="BS124" i="6"/>
  <c r="BR124" i="6"/>
  <c r="BQ124" i="6"/>
  <c r="BP124" i="6"/>
  <c r="BO124" i="6"/>
  <c r="BM124" i="6"/>
  <c r="BK124" i="6"/>
  <c r="BH124" i="6"/>
  <c r="BG124" i="6"/>
  <c r="AJ124" i="6"/>
  <c r="S124" i="6"/>
  <c r="S191" i="6" s="1"/>
  <c r="Q124" i="6"/>
  <c r="H124" i="6"/>
  <c r="DR123" i="6"/>
  <c r="DP123" i="6"/>
  <c r="DO123" i="6"/>
  <c r="DN123" i="6"/>
  <c r="DM123" i="6"/>
  <c r="DL123" i="6"/>
  <c r="DK123" i="6"/>
  <c r="DJ123" i="6"/>
  <c r="DH123" i="6"/>
  <c r="DG123" i="6"/>
  <c r="DE123" i="6"/>
  <c r="DC123" i="6"/>
  <c r="DB123" i="6"/>
  <c r="CH123" i="6"/>
  <c r="CB123" i="6" s="1"/>
  <c r="H123" i="6" s="1"/>
  <c r="BZ123" i="6"/>
  <c r="BW123" i="6"/>
  <c r="BV123" i="6"/>
  <c r="BU123" i="6"/>
  <c r="BT123" i="6"/>
  <c r="BS123" i="6"/>
  <c r="BR123" i="6"/>
  <c r="BQ123" i="6"/>
  <c r="BP123" i="6"/>
  <c r="BO123" i="6"/>
  <c r="BM123" i="6"/>
  <c r="BK123" i="6"/>
  <c r="BJ123" i="6"/>
  <c r="BH123" i="6"/>
  <c r="BG123" i="6"/>
  <c r="AP123" i="6"/>
  <c r="M123" i="6"/>
  <c r="DR122" i="6"/>
  <c r="DP122" i="6"/>
  <c r="DO122" i="6"/>
  <c r="DN122" i="6"/>
  <c r="DM122" i="6"/>
  <c r="DL122" i="6"/>
  <c r="DK122" i="6"/>
  <c r="DJ122" i="6"/>
  <c r="DH122" i="6"/>
  <c r="DG122" i="6"/>
  <c r="DE122" i="6"/>
  <c r="DC122" i="6"/>
  <c r="DB122" i="6"/>
  <c r="CH122" i="6"/>
  <c r="DD122" i="6" s="1"/>
  <c r="CB122" i="6"/>
  <c r="BZ122" i="6"/>
  <c r="BW122" i="6"/>
  <c r="BV122" i="6"/>
  <c r="BU122" i="6"/>
  <c r="BT122" i="6"/>
  <c r="BS122" i="6"/>
  <c r="BR122" i="6"/>
  <c r="BQ122" i="6"/>
  <c r="BP122" i="6"/>
  <c r="BO122" i="6"/>
  <c r="BM122" i="6"/>
  <c r="BK122" i="6"/>
  <c r="BJ122" i="6"/>
  <c r="BH122" i="6"/>
  <c r="BG122" i="6"/>
  <c r="AP122" i="6"/>
  <c r="M122" i="6"/>
  <c r="DQ121" i="6"/>
  <c r="DI121" i="6"/>
  <c r="DF121" i="6"/>
  <c r="DC121" i="6"/>
  <c r="CU121" i="6"/>
  <c r="CT121" i="6"/>
  <c r="CO121" i="6"/>
  <c r="CN121" i="6"/>
  <c r="CM121" i="6"/>
  <c r="CL121" i="6"/>
  <c r="CK121" i="6"/>
  <c r="CI121" i="6"/>
  <c r="CH121" i="6"/>
  <c r="CF121" i="6"/>
  <c r="CD121" i="6"/>
  <c r="BY121" i="6"/>
  <c r="BX121" i="6"/>
  <c r="BN121" i="6"/>
  <c r="BK121" i="6"/>
  <c r="BC121" i="6"/>
  <c r="BB121" i="6"/>
  <c r="AW121" i="6"/>
  <c r="AV121" i="6"/>
  <c r="AU121" i="6"/>
  <c r="AT121" i="6"/>
  <c r="AS121" i="6"/>
  <c r="AR121" i="6"/>
  <c r="AQ121" i="6"/>
  <c r="AP121" i="6"/>
  <c r="AN121" i="6"/>
  <c r="AL121" i="6"/>
  <c r="AF121" i="6"/>
  <c r="AE121" i="6"/>
  <c r="AD121" i="6"/>
  <c r="AC121" i="6"/>
  <c r="AB121" i="6"/>
  <c r="Z121" i="6"/>
  <c r="Y121" i="6"/>
  <c r="X121" i="6"/>
  <c r="W121" i="6"/>
  <c r="V121" i="6"/>
  <c r="U121" i="6"/>
  <c r="T121" i="6"/>
  <c r="S121" i="6"/>
  <c r="R121" i="6"/>
  <c r="Q121" i="6"/>
  <c r="P121" i="6"/>
  <c r="N121" i="6"/>
  <c r="G121" i="6"/>
  <c r="DR120" i="6"/>
  <c r="DP120" i="6"/>
  <c r="DO120" i="6"/>
  <c r="DN120" i="6"/>
  <c r="DM120" i="6"/>
  <c r="DK120" i="6"/>
  <c r="DJ120" i="6"/>
  <c r="DH120" i="6"/>
  <c r="DG120" i="6"/>
  <c r="DE120" i="6"/>
  <c r="DD120" i="6"/>
  <c r="DB120" i="6"/>
  <c r="CY120" i="6"/>
  <c r="CP120" i="6"/>
  <c r="CB120" i="6" s="1"/>
  <c r="H120" i="6" s="1"/>
  <c r="I120" i="6" s="1"/>
  <c r="BZ120" i="6"/>
  <c r="BW120" i="6"/>
  <c r="BV120" i="6"/>
  <c r="BU120" i="6"/>
  <c r="BS120" i="6"/>
  <c r="BR120" i="6"/>
  <c r="BM120" i="6"/>
  <c r="BL120" i="6"/>
  <c r="BJ120" i="6"/>
  <c r="BH120" i="6"/>
  <c r="BG120" i="6"/>
  <c r="AX120" i="6"/>
  <c r="AJ120" i="6" s="1"/>
  <c r="M120" i="6"/>
  <c r="DR119" i="6"/>
  <c r="DP119" i="6"/>
  <c r="DN119" i="6"/>
  <c r="DL119" i="6"/>
  <c r="DK119" i="6"/>
  <c r="DJ119" i="6"/>
  <c r="DH119" i="6"/>
  <c r="DG119" i="6"/>
  <c r="DE119" i="6"/>
  <c r="DD119" i="6"/>
  <c r="DB119" i="6"/>
  <c r="CY119" i="6"/>
  <c r="CS119" i="6"/>
  <c r="DO119" i="6" s="1"/>
  <c r="CQ119" i="6"/>
  <c r="BZ119" i="6"/>
  <c r="BV119" i="6"/>
  <c r="BT119" i="6"/>
  <c r="BS119" i="6"/>
  <c r="BR119" i="6"/>
  <c r="BM119" i="6"/>
  <c r="BL119" i="6"/>
  <c r="BJ119" i="6"/>
  <c r="BH119" i="6"/>
  <c r="BG119" i="6"/>
  <c r="BA119" i="6"/>
  <c r="AY119" i="6"/>
  <c r="BU119" i="6" s="1"/>
  <c r="M119" i="6"/>
  <c r="DR118" i="6"/>
  <c r="DP118" i="6"/>
  <c r="DN118" i="6"/>
  <c r="DM118" i="6"/>
  <c r="DL118" i="6"/>
  <c r="DK118" i="6"/>
  <c r="DJ118" i="6"/>
  <c r="DH118" i="6"/>
  <c r="DG118" i="6"/>
  <c r="DE118" i="6"/>
  <c r="DD118" i="6"/>
  <c r="DB118" i="6"/>
  <c r="CY118" i="6"/>
  <c r="CS118" i="6"/>
  <c r="DO118" i="6" s="1"/>
  <c r="BZ118" i="6"/>
  <c r="BV118" i="6"/>
  <c r="BU118" i="6"/>
  <c r="BT118" i="6"/>
  <c r="BS118" i="6"/>
  <c r="BR118" i="6"/>
  <c r="BM118" i="6"/>
  <c r="BL118" i="6"/>
  <c r="BJ118" i="6"/>
  <c r="BH118" i="6"/>
  <c r="BG118" i="6"/>
  <c r="BA118" i="6"/>
  <c r="AJ118" i="6" s="1"/>
  <c r="M118" i="6"/>
  <c r="DR117" i="6"/>
  <c r="DP117" i="6"/>
  <c r="DK117" i="6"/>
  <c r="DJ117" i="6"/>
  <c r="DH117" i="6"/>
  <c r="DG117" i="6"/>
  <c r="DE117" i="6"/>
  <c r="DD117" i="6"/>
  <c r="DB117" i="6"/>
  <c r="CS117" i="6"/>
  <c r="DO117" i="6" s="1"/>
  <c r="CR117" i="6"/>
  <c r="CR121" i="6" s="1"/>
  <c r="CQ117" i="6"/>
  <c r="DM117" i="6" s="1"/>
  <c r="CP117" i="6"/>
  <c r="DL117" i="6" s="1"/>
  <c r="CC117" i="6"/>
  <c r="BZ117" i="6"/>
  <c r="BS117" i="6"/>
  <c r="BR117" i="6"/>
  <c r="BM117" i="6"/>
  <c r="BL117" i="6"/>
  <c r="BJ117" i="6"/>
  <c r="BH117" i="6"/>
  <c r="BA117" i="6"/>
  <c r="BW117" i="6" s="1"/>
  <c r="AZ117" i="6"/>
  <c r="AZ198" i="6" s="1"/>
  <c r="AY117" i="6"/>
  <c r="BU117" i="6" s="1"/>
  <c r="AX117" i="6"/>
  <c r="AK117" i="6"/>
  <c r="BG117" i="6" s="1"/>
  <c r="M117" i="6"/>
  <c r="DP116" i="6"/>
  <c r="DO116" i="6"/>
  <c r="DN116" i="6"/>
  <c r="DM116" i="6"/>
  <c r="DK116" i="6"/>
  <c r="DJ116" i="6"/>
  <c r="DH116" i="6"/>
  <c r="DG116" i="6"/>
  <c r="DE116" i="6"/>
  <c r="DD116" i="6"/>
  <c r="DB116" i="6"/>
  <c r="CY116" i="6"/>
  <c r="CV116" i="6"/>
  <c r="CB116" i="6"/>
  <c r="H116" i="6" s="1"/>
  <c r="BW116" i="6"/>
  <c r="BV116" i="6"/>
  <c r="BU116" i="6"/>
  <c r="BS116" i="6"/>
  <c r="BR116" i="6"/>
  <c r="BM116" i="6"/>
  <c r="BL116" i="6"/>
  <c r="BJ116" i="6"/>
  <c r="BH116" i="6"/>
  <c r="BG116" i="6"/>
  <c r="BD116" i="6"/>
  <c r="AX116" i="6"/>
  <c r="AG116" i="6"/>
  <c r="AA116" i="6"/>
  <c r="AA198" i="6" s="1"/>
  <c r="M116" i="6"/>
  <c r="DP115" i="6"/>
  <c r="DO115" i="6"/>
  <c r="DN115" i="6"/>
  <c r="DM115" i="6"/>
  <c r="DK115" i="6"/>
  <c r="DJ115" i="6"/>
  <c r="DH115" i="6"/>
  <c r="DG115" i="6"/>
  <c r="DE115" i="6"/>
  <c r="DD115" i="6"/>
  <c r="DB115" i="6"/>
  <c r="CY115" i="6"/>
  <c r="CV115" i="6"/>
  <c r="CP115" i="6"/>
  <c r="BW115" i="6"/>
  <c r="BV115" i="6"/>
  <c r="BU115" i="6"/>
  <c r="BS115" i="6"/>
  <c r="BR115" i="6"/>
  <c r="BQ115" i="6"/>
  <c r="BP115" i="6"/>
  <c r="BO115" i="6"/>
  <c r="BM115" i="6"/>
  <c r="BL115" i="6"/>
  <c r="BJ115" i="6"/>
  <c r="BH115" i="6"/>
  <c r="BG115" i="6"/>
  <c r="BD115" i="6"/>
  <c r="AX115" i="6"/>
  <c r="BT115" i="6" s="1"/>
  <c r="AG115" i="6"/>
  <c r="DP114" i="6"/>
  <c r="DO114" i="6"/>
  <c r="DN114" i="6"/>
  <c r="DM114" i="6"/>
  <c r="DK114" i="6"/>
  <c r="DJ114" i="6"/>
  <c r="DH114" i="6"/>
  <c r="DG114" i="6"/>
  <c r="DE114" i="6"/>
  <c r="DD114" i="6"/>
  <c r="DB114" i="6"/>
  <c r="CY114" i="6"/>
  <c r="CV114" i="6"/>
  <c r="CP114" i="6"/>
  <c r="CB114" i="6" s="1"/>
  <c r="H114" i="6" s="1"/>
  <c r="BW114" i="6"/>
  <c r="BV114" i="6"/>
  <c r="BU114" i="6"/>
  <c r="BS114" i="6"/>
  <c r="BR114" i="6"/>
  <c r="BQ114" i="6"/>
  <c r="BP114" i="6"/>
  <c r="BO114" i="6"/>
  <c r="BM114" i="6"/>
  <c r="BL114" i="6"/>
  <c r="BJ114" i="6"/>
  <c r="BH114" i="6"/>
  <c r="BG114" i="6"/>
  <c r="BD114" i="6"/>
  <c r="AX114" i="6"/>
  <c r="AG114" i="6"/>
  <c r="DN113" i="6"/>
  <c r="CX113" i="6" s="1"/>
  <c r="CB113" i="6"/>
  <c r="H113" i="6" s="1"/>
  <c r="BV113" i="6"/>
  <c r="BF113" i="6" s="1"/>
  <c r="AJ113" i="6"/>
  <c r="M113" i="6"/>
  <c r="DR112" i="6"/>
  <c r="DD112" i="6"/>
  <c r="CY112" i="6"/>
  <c r="CQ112" i="6"/>
  <c r="CB112" i="6" s="1"/>
  <c r="H112" i="6" s="1"/>
  <c r="BZ112" i="6"/>
  <c r="BV112" i="6"/>
  <c r="BT112" i="6"/>
  <c r="BS112" i="6"/>
  <c r="BJ112" i="6"/>
  <c r="BH112" i="6"/>
  <c r="BG112" i="6"/>
  <c r="AY112" i="6"/>
  <c r="AJ112" i="6" s="1"/>
  <c r="M112" i="6"/>
  <c r="DR111" i="6"/>
  <c r="DM111" i="6"/>
  <c r="DD111" i="6"/>
  <c r="CC111" i="6"/>
  <c r="CY111" i="6" s="1"/>
  <c r="BZ111" i="6"/>
  <c r="BV111" i="6"/>
  <c r="BU111" i="6"/>
  <c r="BT111" i="6"/>
  <c r="BS111" i="6"/>
  <c r="BJ111" i="6"/>
  <c r="BH111" i="6"/>
  <c r="AK111" i="6"/>
  <c r="AJ111" i="6" s="1"/>
  <c r="M111" i="6"/>
  <c r="DR110" i="6"/>
  <c r="DP110" i="6"/>
  <c r="DO110" i="6"/>
  <c r="DN110" i="6"/>
  <c r="DM110" i="6"/>
  <c r="DL110" i="6"/>
  <c r="DK110" i="6"/>
  <c r="DJ110" i="6"/>
  <c r="DH110" i="6"/>
  <c r="DG110" i="6"/>
  <c r="DE110" i="6"/>
  <c r="DD110" i="6"/>
  <c r="DB110" i="6"/>
  <c r="CY110" i="6"/>
  <c r="CB110" i="6"/>
  <c r="BZ110" i="6"/>
  <c r="BV110" i="6"/>
  <c r="BU110" i="6"/>
  <c r="BS110" i="6"/>
  <c r="BR110" i="6"/>
  <c r="BQ110" i="6"/>
  <c r="BP110" i="6"/>
  <c r="BO110" i="6"/>
  <c r="BM110" i="6"/>
  <c r="BL110" i="6"/>
  <c r="BJ110" i="6"/>
  <c r="BH110" i="6"/>
  <c r="BG110" i="6"/>
  <c r="BA110" i="6"/>
  <c r="BW110" i="6" s="1"/>
  <c r="AX110" i="6"/>
  <c r="M110" i="6"/>
  <c r="DR109" i="6"/>
  <c r="DP109" i="6"/>
  <c r="DO109" i="6"/>
  <c r="DN109" i="6"/>
  <c r="DM109" i="6"/>
  <c r="DL109" i="6"/>
  <c r="DK109" i="6"/>
  <c r="DJ109" i="6"/>
  <c r="DH109" i="6"/>
  <c r="DG109" i="6"/>
  <c r="DE109" i="6"/>
  <c r="DD109" i="6"/>
  <c r="DB109" i="6"/>
  <c r="CY109" i="6"/>
  <c r="CB109" i="6"/>
  <c r="H109" i="6" s="1"/>
  <c r="I109" i="6" s="1"/>
  <c r="BZ109" i="6"/>
  <c r="BW109" i="6"/>
  <c r="BV109" i="6"/>
  <c r="BU109" i="6"/>
  <c r="BT109" i="6"/>
  <c r="BS109" i="6"/>
  <c r="BR109" i="6"/>
  <c r="BQ109" i="6"/>
  <c r="BP109" i="6"/>
  <c r="BO109" i="6"/>
  <c r="BM109" i="6"/>
  <c r="BL109" i="6"/>
  <c r="BJ109" i="6"/>
  <c r="BH109" i="6"/>
  <c r="BG109" i="6"/>
  <c r="AJ109" i="6"/>
  <c r="M109" i="6"/>
  <c r="DP108" i="6"/>
  <c r="DO108" i="6"/>
  <c r="DN108" i="6"/>
  <c r="DM108" i="6"/>
  <c r="DL108" i="6"/>
  <c r="DK108" i="6"/>
  <c r="DJ108" i="6"/>
  <c r="DH108" i="6"/>
  <c r="DG108" i="6"/>
  <c r="DE108" i="6"/>
  <c r="DD108" i="6"/>
  <c r="DB108" i="6"/>
  <c r="CY108" i="6"/>
  <c r="CV108" i="6"/>
  <c r="BW108" i="6"/>
  <c r="BV108" i="6"/>
  <c r="BU108" i="6"/>
  <c r="BT108" i="6"/>
  <c r="BS108" i="6"/>
  <c r="BR108" i="6"/>
  <c r="BQ108" i="6"/>
  <c r="BP108" i="6"/>
  <c r="BO108" i="6"/>
  <c r="BM108" i="6"/>
  <c r="BL108" i="6"/>
  <c r="BJ108" i="6"/>
  <c r="BH108" i="6"/>
  <c r="BG108" i="6"/>
  <c r="BD108" i="6"/>
  <c r="AG108" i="6"/>
  <c r="M108" i="6" s="1"/>
  <c r="DR107" i="6"/>
  <c r="DP107" i="6"/>
  <c r="DN107" i="6"/>
  <c r="DM107" i="6"/>
  <c r="DL107" i="6"/>
  <c r="DK107" i="6"/>
  <c r="DJ107" i="6"/>
  <c r="DH107" i="6"/>
  <c r="DG107" i="6"/>
  <c r="DE107" i="6"/>
  <c r="DD107" i="6"/>
  <c r="DB107" i="6"/>
  <c r="CY107" i="6"/>
  <c r="CS107" i="6"/>
  <c r="DO107" i="6" s="1"/>
  <c r="BZ107" i="6"/>
  <c r="BV107" i="6"/>
  <c r="BU107" i="6"/>
  <c r="BT107" i="6"/>
  <c r="BS107" i="6"/>
  <c r="BR107" i="6"/>
  <c r="BM107" i="6"/>
  <c r="BL107" i="6"/>
  <c r="BJ107" i="6"/>
  <c r="BH107" i="6"/>
  <c r="BG107" i="6"/>
  <c r="BA107" i="6"/>
  <c r="BW107" i="6" s="1"/>
  <c r="AJ107" i="6"/>
  <c r="M107" i="6"/>
  <c r="DR106" i="6"/>
  <c r="DP106" i="6"/>
  <c r="DN106" i="6"/>
  <c r="DM106" i="6"/>
  <c r="DL106" i="6"/>
  <c r="DK106" i="6"/>
  <c r="DJ106" i="6"/>
  <c r="DH106" i="6"/>
  <c r="DG106" i="6"/>
  <c r="DE106" i="6"/>
  <c r="DD106" i="6"/>
  <c r="DB106" i="6"/>
  <c r="CY106" i="6"/>
  <c r="CS106" i="6"/>
  <c r="BZ106" i="6"/>
  <c r="BV106" i="6"/>
  <c r="BU106" i="6"/>
  <c r="BT106" i="6"/>
  <c r="BS106" i="6"/>
  <c r="BR106" i="6"/>
  <c r="BM106" i="6"/>
  <c r="BL106" i="6"/>
  <c r="BJ106" i="6"/>
  <c r="BH106" i="6"/>
  <c r="BG106" i="6"/>
  <c r="BA106" i="6"/>
  <c r="M106" i="6"/>
  <c r="DR105" i="6"/>
  <c r="DP105" i="6"/>
  <c r="DN105" i="6"/>
  <c r="DM105" i="6"/>
  <c r="DL105" i="6"/>
  <c r="DK105" i="6"/>
  <c r="DJ105" i="6"/>
  <c r="DH105" i="6"/>
  <c r="DG105" i="6"/>
  <c r="DE105" i="6"/>
  <c r="DD105" i="6"/>
  <c r="DB105" i="6"/>
  <c r="DA105" i="6"/>
  <c r="DA198" i="6" s="1"/>
  <c r="CY105" i="6"/>
  <c r="CS105" i="6"/>
  <c r="CB105" i="6"/>
  <c r="H105" i="6" s="1"/>
  <c r="BZ105" i="6"/>
  <c r="BV105" i="6"/>
  <c r="BU105" i="6"/>
  <c r="BT105" i="6"/>
  <c r="BS105" i="6"/>
  <c r="BR105" i="6"/>
  <c r="BM105" i="6"/>
  <c r="BL105" i="6"/>
  <c r="BJ105" i="6"/>
  <c r="BG105" i="6"/>
  <c r="BA105" i="6"/>
  <c r="O105" i="6"/>
  <c r="DQ103" i="6"/>
  <c r="DI103" i="6"/>
  <c r="DF103" i="6"/>
  <c r="CY103" i="6"/>
  <c r="CU103" i="6"/>
  <c r="CT103" i="6"/>
  <c r="CS103" i="6"/>
  <c r="CR103" i="6"/>
  <c r="CP103" i="6"/>
  <c r="CN103" i="6"/>
  <c r="CM103" i="6"/>
  <c r="CL103" i="6"/>
  <c r="CK103" i="6"/>
  <c r="CD103" i="6"/>
  <c r="CC103" i="6"/>
  <c r="BY103" i="6"/>
  <c r="BN103" i="6"/>
  <c r="BK103" i="6"/>
  <c r="BI103" i="6"/>
  <c r="BC103" i="6"/>
  <c r="BB103" i="6"/>
  <c r="BA103" i="6"/>
  <c r="AZ103" i="6"/>
  <c r="AX103" i="6"/>
  <c r="AV103" i="6"/>
  <c r="AU103" i="6"/>
  <c r="AT103" i="6"/>
  <c r="AS103" i="6"/>
  <c r="AR103" i="6"/>
  <c r="AL103" i="6"/>
  <c r="AK103" i="6"/>
  <c r="AF103" i="6"/>
  <c r="AE103" i="6"/>
  <c r="AD103" i="6"/>
  <c r="AC103" i="6"/>
  <c r="AA103" i="6"/>
  <c r="Y103" i="6"/>
  <c r="X103" i="6"/>
  <c r="W103" i="6"/>
  <c r="V103" i="6"/>
  <c r="U103" i="6"/>
  <c r="R103" i="6"/>
  <c r="P103" i="6"/>
  <c r="N103" i="6"/>
  <c r="G103" i="6"/>
  <c r="DR102" i="6"/>
  <c r="DP102" i="6"/>
  <c r="DO102" i="6"/>
  <c r="DN102" i="6"/>
  <c r="DM102" i="6"/>
  <c r="DL102" i="6"/>
  <c r="DK102" i="6"/>
  <c r="DJ102" i="6"/>
  <c r="DH102" i="6"/>
  <c r="DG102" i="6"/>
  <c r="DE102" i="6"/>
  <c r="DD102" i="6"/>
  <c r="DB102" i="6"/>
  <c r="CV102" i="6"/>
  <c r="CB102" i="6" s="1"/>
  <c r="BW102" i="6"/>
  <c r="BV102" i="6"/>
  <c r="BU102" i="6"/>
  <c r="BT102" i="6"/>
  <c r="BS102" i="6"/>
  <c r="BR102" i="6"/>
  <c r="BP102" i="6"/>
  <c r="BO102" i="6"/>
  <c r="BM102" i="6"/>
  <c r="BL102" i="6"/>
  <c r="BJ102" i="6"/>
  <c r="BH102" i="6"/>
  <c r="BG102" i="6"/>
  <c r="BD102" i="6"/>
  <c r="AJ102" i="6" s="1"/>
  <c r="AG102" i="6"/>
  <c r="DR101" i="6"/>
  <c r="DP101" i="6"/>
  <c r="DO101" i="6"/>
  <c r="DN101" i="6"/>
  <c r="DM101" i="6"/>
  <c r="DL101" i="6"/>
  <c r="DK101" i="6"/>
  <c r="DJ101" i="6"/>
  <c r="DH101" i="6"/>
  <c r="DG101" i="6"/>
  <c r="DE101" i="6"/>
  <c r="CH101" i="6"/>
  <c r="CB101" i="6" s="1"/>
  <c r="BZ101" i="6"/>
  <c r="BW101" i="6"/>
  <c r="BV101" i="6"/>
  <c r="BU101" i="6"/>
  <c r="BT101" i="6"/>
  <c r="BS101" i="6"/>
  <c r="BR101" i="6"/>
  <c r="BP101" i="6"/>
  <c r="BO101" i="6"/>
  <c r="BM101" i="6"/>
  <c r="BH101" i="6"/>
  <c r="BG101" i="6"/>
  <c r="AP101" i="6"/>
  <c r="AN101" i="6"/>
  <c r="S101" i="6"/>
  <c r="Q101" i="6"/>
  <c r="DR100" i="6"/>
  <c r="DP100" i="6"/>
  <c r="DO100" i="6"/>
  <c r="DN100" i="6"/>
  <c r="DL100" i="6"/>
  <c r="DK100" i="6"/>
  <c r="DJ100" i="6"/>
  <c r="DH100" i="6"/>
  <c r="DG100" i="6"/>
  <c r="DE100" i="6"/>
  <c r="DC100" i="6"/>
  <c r="DC196" i="6" s="1"/>
  <c r="CQ100" i="6"/>
  <c r="DM100" i="6" s="1"/>
  <c r="CH100" i="6"/>
  <c r="BZ100" i="6"/>
  <c r="BW100" i="6"/>
  <c r="BV100" i="6"/>
  <c r="BT100" i="6"/>
  <c r="BS100" i="6"/>
  <c r="BR100" i="6"/>
  <c r="BP100" i="6"/>
  <c r="BO100" i="6"/>
  <c r="BM100" i="6"/>
  <c r="BK100" i="6"/>
  <c r="BK196" i="6" s="1"/>
  <c r="BJ100" i="6"/>
  <c r="BH100" i="6"/>
  <c r="BG100" i="6"/>
  <c r="AY100" i="6"/>
  <c r="BU100" i="6" s="1"/>
  <c r="AP100" i="6"/>
  <c r="S100" i="6"/>
  <c r="DD100" i="6" s="1"/>
  <c r="Q100" i="6"/>
  <c r="DB100" i="6" s="1"/>
  <c r="DR99" i="6"/>
  <c r="DP99" i="6"/>
  <c r="DO99" i="6"/>
  <c r="DN99" i="6"/>
  <c r="DL99" i="6"/>
  <c r="DK99" i="6"/>
  <c r="DJ99" i="6"/>
  <c r="DH99" i="6"/>
  <c r="DG99" i="6"/>
  <c r="DE99" i="6"/>
  <c r="DB99" i="6"/>
  <c r="CB99" i="6"/>
  <c r="BZ99" i="6"/>
  <c r="BW99" i="6"/>
  <c r="BV99" i="6"/>
  <c r="BT99" i="6"/>
  <c r="BS99" i="6"/>
  <c r="BR99" i="6"/>
  <c r="BP99" i="6"/>
  <c r="BO99" i="6"/>
  <c r="BM99" i="6"/>
  <c r="BJ99" i="6"/>
  <c r="BH99" i="6"/>
  <c r="BG99" i="6"/>
  <c r="AY99" i="6"/>
  <c r="AP99" i="6"/>
  <c r="AJ99" i="6"/>
  <c r="AB99" i="6"/>
  <c r="S99" i="6"/>
  <c r="BL99" i="6" s="1"/>
  <c r="H99" i="6"/>
  <c r="DR98" i="6"/>
  <c r="DP98" i="6"/>
  <c r="DO98" i="6"/>
  <c r="DN98" i="6"/>
  <c r="DM98" i="6"/>
  <c r="DL98" i="6"/>
  <c r="DK98" i="6"/>
  <c r="DJ98" i="6"/>
  <c r="DH98" i="6"/>
  <c r="DG98" i="6"/>
  <c r="DE98" i="6"/>
  <c r="DB98" i="6"/>
  <c r="DA98" i="6"/>
  <c r="CH98" i="6"/>
  <c r="CB98" i="6" s="1"/>
  <c r="H98" i="6" s="1"/>
  <c r="BZ98" i="6"/>
  <c r="BW98" i="6"/>
  <c r="BV98" i="6"/>
  <c r="BU98" i="6"/>
  <c r="BT98" i="6"/>
  <c r="BS98" i="6"/>
  <c r="BR98" i="6"/>
  <c r="BP98" i="6"/>
  <c r="BO98" i="6"/>
  <c r="BM98" i="6"/>
  <c r="BJ98" i="6"/>
  <c r="BG98" i="6"/>
  <c r="AP98" i="6"/>
  <c r="AJ98" i="6" s="1"/>
  <c r="S98" i="6"/>
  <c r="O98" i="6"/>
  <c r="DR97" i="6"/>
  <c r="DP97" i="6"/>
  <c r="DO97" i="6"/>
  <c r="DN97" i="6"/>
  <c r="DM97" i="6"/>
  <c r="DL97" i="6"/>
  <c r="DK97" i="6"/>
  <c r="DJ97" i="6"/>
  <c r="DH97" i="6"/>
  <c r="DG97" i="6"/>
  <c r="DE97" i="6"/>
  <c r="DB97" i="6"/>
  <c r="CB97" i="6"/>
  <c r="H97" i="6" s="1"/>
  <c r="BZ97" i="6"/>
  <c r="BW97" i="6"/>
  <c r="BV97" i="6"/>
  <c r="BU97" i="6"/>
  <c r="BT97" i="6"/>
  <c r="BS97" i="6"/>
  <c r="BR97" i="6"/>
  <c r="BP97" i="6"/>
  <c r="BO97" i="6"/>
  <c r="BM97" i="6"/>
  <c r="BJ97" i="6"/>
  <c r="BH97" i="6"/>
  <c r="BG97" i="6"/>
  <c r="AP97" i="6"/>
  <c r="AJ97" i="6"/>
  <c r="S97" i="6"/>
  <c r="M97" i="6"/>
  <c r="AI97" i="6" s="1"/>
  <c r="BE97" i="6" s="1"/>
  <c r="DR96" i="6"/>
  <c r="DP96" i="6"/>
  <c r="DO96" i="6"/>
  <c r="DN96" i="6"/>
  <c r="DM96" i="6"/>
  <c r="DL96" i="6"/>
  <c r="DK96" i="6"/>
  <c r="DJ96" i="6"/>
  <c r="DH96" i="6"/>
  <c r="DG96" i="6"/>
  <c r="DE96" i="6"/>
  <c r="DB96" i="6"/>
  <c r="DA96" i="6"/>
  <c r="CH96" i="6"/>
  <c r="BZ96" i="6"/>
  <c r="BW96" i="6"/>
  <c r="BV96" i="6"/>
  <c r="BU96" i="6"/>
  <c r="BT96" i="6"/>
  <c r="BS96" i="6"/>
  <c r="BR96" i="6"/>
  <c r="BP96" i="6"/>
  <c r="BO96" i="6"/>
  <c r="BM96" i="6"/>
  <c r="BJ96" i="6"/>
  <c r="BG96" i="6"/>
  <c r="AP96" i="6"/>
  <c r="BL96" i="6" s="1"/>
  <c r="AJ96" i="6"/>
  <c r="O96" i="6"/>
  <c r="DR95" i="6"/>
  <c r="DP95" i="6"/>
  <c r="DO95" i="6"/>
  <c r="DN95" i="6"/>
  <c r="DM95" i="6"/>
  <c r="DL95" i="6"/>
  <c r="DK95" i="6"/>
  <c r="DJ95" i="6"/>
  <c r="DH95" i="6"/>
  <c r="DG95" i="6"/>
  <c r="DE95" i="6"/>
  <c r="DB95" i="6"/>
  <c r="DA95" i="6"/>
  <c r="CB95" i="6"/>
  <c r="H95" i="6" s="1"/>
  <c r="BZ95" i="6"/>
  <c r="BW95" i="6"/>
  <c r="BV95" i="6"/>
  <c r="BU95" i="6"/>
  <c r="BT95" i="6"/>
  <c r="BS95" i="6"/>
  <c r="BR95" i="6"/>
  <c r="BP95" i="6"/>
  <c r="BO95" i="6"/>
  <c r="BM95" i="6"/>
  <c r="BJ95" i="6"/>
  <c r="BG95" i="6"/>
  <c r="AP95" i="6"/>
  <c r="AJ95" i="6" s="1"/>
  <c r="S95" i="6"/>
  <c r="DD95" i="6" s="1"/>
  <c r="O95" i="6"/>
  <c r="DR94" i="6"/>
  <c r="DP94" i="6"/>
  <c r="DO94" i="6"/>
  <c r="DN94" i="6"/>
  <c r="DM94" i="6"/>
  <c r="DL94" i="6"/>
  <c r="DK94" i="6"/>
  <c r="DJ94" i="6"/>
  <c r="DH94" i="6"/>
  <c r="DG94" i="6"/>
  <c r="DE94" i="6"/>
  <c r="DD94" i="6"/>
  <c r="DB94" i="6"/>
  <c r="CB94" i="6"/>
  <c r="H94" i="6" s="1"/>
  <c r="BZ94" i="6"/>
  <c r="BW94" i="6"/>
  <c r="BV94" i="6"/>
  <c r="BU94" i="6"/>
  <c r="BT94" i="6"/>
  <c r="BS94" i="6"/>
  <c r="BR94" i="6"/>
  <c r="BP94" i="6"/>
  <c r="BO94" i="6"/>
  <c r="BM94" i="6"/>
  <c r="BJ94" i="6"/>
  <c r="BH94" i="6"/>
  <c r="BG94" i="6"/>
  <c r="AP94" i="6"/>
  <c r="M94" i="6"/>
  <c r="DR93" i="6"/>
  <c r="DP93" i="6"/>
  <c r="DO93" i="6"/>
  <c r="DN93" i="6"/>
  <c r="DM93" i="6"/>
  <c r="DL93" i="6"/>
  <c r="DK93" i="6"/>
  <c r="DJ93" i="6"/>
  <c r="DH93" i="6"/>
  <c r="DG93" i="6"/>
  <c r="DE93" i="6"/>
  <c r="DB93" i="6"/>
  <c r="CH93" i="6"/>
  <c r="DD93" i="6" s="1"/>
  <c r="BZ93" i="6"/>
  <c r="BW93" i="6"/>
  <c r="BV93" i="6"/>
  <c r="BU93" i="6"/>
  <c r="BT93" i="6"/>
  <c r="BS93" i="6"/>
  <c r="BR93" i="6"/>
  <c r="BP93" i="6"/>
  <c r="BO93" i="6"/>
  <c r="BM93" i="6"/>
  <c r="BJ93" i="6"/>
  <c r="BH93" i="6"/>
  <c r="BG93" i="6"/>
  <c r="AP93" i="6"/>
  <c r="M93" i="6"/>
  <c r="DR92" i="6"/>
  <c r="DP92" i="6"/>
  <c r="DO92" i="6"/>
  <c r="DN92" i="6"/>
  <c r="DM92" i="6"/>
  <c r="DL92" i="6"/>
  <c r="DK92" i="6"/>
  <c r="DJ92" i="6"/>
  <c r="DH92" i="6"/>
  <c r="DG92" i="6"/>
  <c r="DB92" i="6"/>
  <c r="CH92" i="6"/>
  <c r="BZ92" i="6"/>
  <c r="BW92" i="6"/>
  <c r="BV92" i="6"/>
  <c r="BU92" i="6"/>
  <c r="BT92" i="6"/>
  <c r="BS92" i="6"/>
  <c r="BR92" i="6"/>
  <c r="BP92" i="6"/>
  <c r="BO92" i="6"/>
  <c r="BH92" i="6"/>
  <c r="BG92" i="6"/>
  <c r="AP92" i="6"/>
  <c r="BL92" i="6" s="1"/>
  <c r="AN92" i="6"/>
  <c r="BJ92" i="6" s="1"/>
  <c r="AJ92" i="6"/>
  <c r="T92" i="6"/>
  <c r="DR91" i="6"/>
  <c r="DP91" i="6"/>
  <c r="DO91" i="6"/>
  <c r="DN91" i="6"/>
  <c r="DM91" i="6"/>
  <c r="DL91" i="6"/>
  <c r="DK91" i="6"/>
  <c r="DJ91" i="6"/>
  <c r="DH91" i="6"/>
  <c r="DG91" i="6"/>
  <c r="DE91" i="6"/>
  <c r="DD91" i="6"/>
  <c r="DB91" i="6"/>
  <c r="CI91" i="6"/>
  <c r="CB91" i="6"/>
  <c r="CA91" i="6" s="1"/>
  <c r="CW91" i="6" s="1"/>
  <c r="BZ91" i="6"/>
  <c r="BW91" i="6"/>
  <c r="BV91" i="6"/>
  <c r="BU91" i="6"/>
  <c r="BT91" i="6"/>
  <c r="BS91" i="6"/>
  <c r="BR91" i="6"/>
  <c r="BP91" i="6"/>
  <c r="BO91" i="6"/>
  <c r="BL91" i="6"/>
  <c r="BJ91" i="6"/>
  <c r="BH91" i="6"/>
  <c r="BG91" i="6"/>
  <c r="AQ91" i="6"/>
  <c r="T91" i="6"/>
  <c r="M91" i="6" s="1"/>
  <c r="DR90" i="6"/>
  <c r="DP90" i="6"/>
  <c r="DO90" i="6"/>
  <c r="DN90" i="6"/>
  <c r="DL90" i="6"/>
  <c r="DK90" i="6"/>
  <c r="DJ90" i="6"/>
  <c r="DH90" i="6"/>
  <c r="DG90" i="6"/>
  <c r="DE90" i="6"/>
  <c r="DD90" i="6"/>
  <c r="CQ90" i="6"/>
  <c r="DM90" i="6" s="1"/>
  <c r="CF90" i="6"/>
  <c r="BZ90" i="6"/>
  <c r="BW90" i="6"/>
  <c r="BV90" i="6"/>
  <c r="BT90" i="6"/>
  <c r="BS90" i="6"/>
  <c r="BR90" i="6"/>
  <c r="BP90" i="6"/>
  <c r="BO90" i="6"/>
  <c r="BM90" i="6"/>
  <c r="BL90" i="6"/>
  <c r="BH90" i="6"/>
  <c r="BG90" i="6"/>
  <c r="AY90" i="6"/>
  <c r="BU90" i="6" s="1"/>
  <c r="AN90" i="6"/>
  <c r="M90" i="6"/>
  <c r="DR89" i="6"/>
  <c r="DP89" i="6"/>
  <c r="DO89" i="6"/>
  <c r="DN89" i="6"/>
  <c r="DM89" i="6"/>
  <c r="DL89" i="6"/>
  <c r="DK89" i="6"/>
  <c r="DJ89" i="6"/>
  <c r="DH89" i="6"/>
  <c r="DG89" i="6"/>
  <c r="DE89" i="6"/>
  <c r="DD89" i="6"/>
  <c r="CB89" i="6"/>
  <c r="H89" i="6" s="1"/>
  <c r="BZ89" i="6"/>
  <c r="BW89" i="6"/>
  <c r="BV89" i="6"/>
  <c r="BT89" i="6"/>
  <c r="BS89" i="6"/>
  <c r="BR89" i="6"/>
  <c r="BP89" i="6"/>
  <c r="BO89" i="6"/>
  <c r="BM89" i="6"/>
  <c r="BH89" i="6"/>
  <c r="BG89" i="6"/>
  <c r="AY89" i="6"/>
  <c r="BU89" i="6" s="1"/>
  <c r="AP89" i="6"/>
  <c r="BL89" i="6" s="1"/>
  <c r="Q89" i="6"/>
  <c r="M89" i="6" s="1"/>
  <c r="DR88" i="6"/>
  <c r="DP88" i="6"/>
  <c r="DO88" i="6"/>
  <c r="DN88" i="6"/>
  <c r="DM88" i="6"/>
  <c r="DL88" i="6"/>
  <c r="DK88" i="6"/>
  <c r="DJ88" i="6"/>
  <c r="DH88" i="6"/>
  <c r="DG88" i="6"/>
  <c r="DE88" i="6"/>
  <c r="DD88" i="6"/>
  <c r="DB88" i="6"/>
  <c r="DA88" i="6"/>
  <c r="CB88" i="6"/>
  <c r="H88" i="6" s="1"/>
  <c r="BZ88" i="6"/>
  <c r="BW88" i="6"/>
  <c r="BV88" i="6"/>
  <c r="BU88" i="6"/>
  <c r="BT88" i="6"/>
  <c r="BS88" i="6"/>
  <c r="BR88" i="6"/>
  <c r="BP88" i="6"/>
  <c r="BO88" i="6"/>
  <c r="BL88" i="6"/>
  <c r="BJ88" i="6"/>
  <c r="BG88" i="6"/>
  <c r="AQ88" i="6"/>
  <c r="BM88" i="6" s="1"/>
  <c r="AJ88" i="6"/>
  <c r="O88" i="6"/>
  <c r="DR87" i="6"/>
  <c r="DP87" i="6"/>
  <c r="DO87" i="6"/>
  <c r="DN87" i="6"/>
  <c r="DM87" i="6"/>
  <c r="DL87" i="6"/>
  <c r="DJ87" i="6"/>
  <c r="DH87" i="6"/>
  <c r="DG87" i="6"/>
  <c r="DE87" i="6"/>
  <c r="DD87" i="6"/>
  <c r="DB87" i="6"/>
  <c r="CO87" i="6"/>
  <c r="CO196" i="6" s="1"/>
  <c r="BZ87" i="6"/>
  <c r="BW87" i="6"/>
  <c r="BV87" i="6"/>
  <c r="BU87" i="6"/>
  <c r="BT87" i="6"/>
  <c r="BR87" i="6"/>
  <c r="BP87" i="6"/>
  <c r="BO87" i="6"/>
  <c r="BM87" i="6"/>
  <c r="BL87" i="6"/>
  <c r="BJ87" i="6"/>
  <c r="BH87" i="6"/>
  <c r="BG87" i="6"/>
  <c r="AW87" i="6"/>
  <c r="AW196" i="6" s="1"/>
  <c r="Z87" i="6"/>
  <c r="DP86" i="6"/>
  <c r="DO86" i="6"/>
  <c r="DN86" i="6"/>
  <c r="DM86" i="6"/>
  <c r="DL86" i="6"/>
  <c r="DK86" i="6"/>
  <c r="DJ86" i="6"/>
  <c r="DH86" i="6"/>
  <c r="DG86" i="6"/>
  <c r="DE86" i="6"/>
  <c r="DD86" i="6"/>
  <c r="DB86" i="6"/>
  <c r="CV86" i="6"/>
  <c r="CB86" i="6" s="1"/>
  <c r="H86" i="6" s="1"/>
  <c r="BW86" i="6"/>
  <c r="BV86" i="6"/>
  <c r="BU86" i="6"/>
  <c r="BT86" i="6"/>
  <c r="BS86" i="6"/>
  <c r="BR86" i="6"/>
  <c r="BP86" i="6"/>
  <c r="BO86" i="6"/>
  <c r="BM86" i="6"/>
  <c r="BL86" i="6"/>
  <c r="BJ86" i="6"/>
  <c r="BH86" i="6"/>
  <c r="BG86" i="6"/>
  <c r="BD86" i="6"/>
  <c r="AJ86" i="6" s="1"/>
  <c r="AG86" i="6"/>
  <c r="M86" i="6"/>
  <c r="DP85" i="6"/>
  <c r="DO85" i="6"/>
  <c r="DN85" i="6"/>
  <c r="DM85" i="6"/>
  <c r="DL85" i="6"/>
  <c r="DK85" i="6"/>
  <c r="DJ85" i="6"/>
  <c r="DH85" i="6"/>
  <c r="DG85" i="6"/>
  <c r="DE85" i="6"/>
  <c r="DD85" i="6"/>
  <c r="DB85" i="6"/>
  <c r="CV85" i="6"/>
  <c r="CB85" i="6" s="1"/>
  <c r="H85" i="6" s="1"/>
  <c r="BW85" i="6"/>
  <c r="BV85" i="6"/>
  <c r="BU85" i="6"/>
  <c r="BT85" i="6"/>
  <c r="BS85" i="6"/>
  <c r="BR85" i="6"/>
  <c r="BP85" i="6"/>
  <c r="BO85" i="6"/>
  <c r="BM85" i="6"/>
  <c r="BL85" i="6"/>
  <c r="BJ85" i="6"/>
  <c r="BH85" i="6"/>
  <c r="BG85" i="6"/>
  <c r="BD85" i="6"/>
  <c r="AJ85" i="6" s="1"/>
  <c r="AG85" i="6"/>
  <c r="M85" i="6"/>
  <c r="DR84" i="6"/>
  <c r="DP84" i="6"/>
  <c r="DO84" i="6"/>
  <c r="DN84" i="6"/>
  <c r="DM84" i="6"/>
  <c r="DL84" i="6"/>
  <c r="DK84" i="6"/>
  <c r="DJ84" i="6"/>
  <c r="DH84" i="6"/>
  <c r="DG84" i="6"/>
  <c r="DD84" i="6"/>
  <c r="DB84" i="6"/>
  <c r="DA84" i="6"/>
  <c r="CI84" i="6"/>
  <c r="CB84" i="6" s="1"/>
  <c r="H84" i="6" s="1"/>
  <c r="BZ84" i="6"/>
  <c r="BW84" i="6"/>
  <c r="BV84" i="6"/>
  <c r="BU84" i="6"/>
  <c r="BT84" i="6"/>
  <c r="BS84" i="6"/>
  <c r="BR84" i="6"/>
  <c r="BQ84" i="6"/>
  <c r="BP84" i="6"/>
  <c r="BO84" i="6"/>
  <c r="BL84" i="6"/>
  <c r="BJ84" i="6"/>
  <c r="BG84" i="6"/>
  <c r="AQ84" i="6"/>
  <c r="AJ84" i="6" s="1"/>
  <c r="T84" i="6"/>
  <c r="O84" i="6"/>
  <c r="DR83" i="6"/>
  <c r="DP83" i="6"/>
  <c r="DO83" i="6"/>
  <c r="DN83" i="6"/>
  <c r="DM83" i="6"/>
  <c r="DL83" i="6"/>
  <c r="DK83" i="6"/>
  <c r="DJ83" i="6"/>
  <c r="DH83" i="6"/>
  <c r="DG83" i="6"/>
  <c r="DD83" i="6"/>
  <c r="DB83" i="6"/>
  <c r="DA83" i="6"/>
  <c r="CI83" i="6"/>
  <c r="DE83" i="6" s="1"/>
  <c r="BZ83" i="6"/>
  <c r="BW83" i="6"/>
  <c r="BV83" i="6"/>
  <c r="BU83" i="6"/>
  <c r="BT83" i="6"/>
  <c r="BS83" i="6"/>
  <c r="BR83" i="6"/>
  <c r="BQ83" i="6"/>
  <c r="BP83" i="6"/>
  <c r="BO83" i="6"/>
  <c r="BL83" i="6"/>
  <c r="BJ83" i="6"/>
  <c r="BG83" i="6"/>
  <c r="AQ83" i="6"/>
  <c r="O83" i="6"/>
  <c r="DP82" i="6"/>
  <c r="DO82" i="6"/>
  <c r="DN82" i="6"/>
  <c r="DM82" i="6"/>
  <c r="DL82" i="6"/>
  <c r="DK82" i="6"/>
  <c r="DJ82" i="6"/>
  <c r="DH82" i="6"/>
  <c r="DG82" i="6"/>
  <c r="DE82" i="6"/>
  <c r="DD82" i="6"/>
  <c r="DB82" i="6"/>
  <c r="CV82" i="6"/>
  <c r="BW82" i="6"/>
  <c r="BV82" i="6"/>
  <c r="BU82" i="6"/>
  <c r="BT82" i="6"/>
  <c r="BS82" i="6"/>
  <c r="BR82" i="6"/>
  <c r="BQ82" i="6"/>
  <c r="BP82" i="6"/>
  <c r="BO82" i="6"/>
  <c r="BM82" i="6"/>
  <c r="BL82" i="6"/>
  <c r="BJ82" i="6"/>
  <c r="BH82" i="6"/>
  <c r="BG82" i="6"/>
  <c r="BD82" i="6"/>
  <c r="AJ82" i="6" s="1"/>
  <c r="AG82" i="6"/>
  <c r="M82" i="6" s="1"/>
  <c r="DR81" i="6"/>
  <c r="DP81" i="6"/>
  <c r="DO81" i="6"/>
  <c r="DN81" i="6"/>
  <c r="DM81" i="6"/>
  <c r="DL81" i="6"/>
  <c r="DK81" i="6"/>
  <c r="DJ81" i="6"/>
  <c r="DH81" i="6"/>
  <c r="DG81" i="6"/>
  <c r="DD81" i="6"/>
  <c r="DB81" i="6"/>
  <c r="CI81" i="6"/>
  <c r="CB81" i="6" s="1"/>
  <c r="BZ81" i="6"/>
  <c r="BX81" i="6"/>
  <c r="BW81" i="6"/>
  <c r="BV81" i="6"/>
  <c r="BU81" i="6"/>
  <c r="BT81" i="6"/>
  <c r="BS81" i="6"/>
  <c r="BR81" i="6"/>
  <c r="BQ81" i="6"/>
  <c r="BP81" i="6"/>
  <c r="BO81" i="6"/>
  <c r="BL81" i="6"/>
  <c r="BJ81" i="6"/>
  <c r="BH81" i="6"/>
  <c r="BG81" i="6"/>
  <c r="AQ81" i="6"/>
  <c r="T81" i="6"/>
  <c r="BM81" i="6" s="1"/>
  <c r="DP80" i="6"/>
  <c r="DO80" i="6"/>
  <c r="DN80" i="6"/>
  <c r="DM80" i="6"/>
  <c r="DL80" i="6"/>
  <c r="DK80" i="6"/>
  <c r="DJ80" i="6"/>
  <c r="DH80" i="6"/>
  <c r="DG80" i="6"/>
  <c r="DE80" i="6"/>
  <c r="DD80" i="6"/>
  <c r="DB80" i="6"/>
  <c r="CV80" i="6"/>
  <c r="CB80" i="6" s="1"/>
  <c r="BW80" i="6"/>
  <c r="BV80" i="6"/>
  <c r="BU80" i="6"/>
  <c r="BT80" i="6"/>
  <c r="BS80" i="6"/>
  <c r="BR80" i="6"/>
  <c r="BP80" i="6"/>
  <c r="BO80" i="6"/>
  <c r="BM80" i="6"/>
  <c r="BL80" i="6"/>
  <c r="BJ80" i="6"/>
  <c r="BH80" i="6"/>
  <c r="BG80" i="6"/>
  <c r="BD80" i="6"/>
  <c r="AJ80" i="6" s="1"/>
  <c r="AG80" i="6"/>
  <c r="M80" i="6" s="1"/>
  <c r="DP79" i="6"/>
  <c r="DO79" i="6"/>
  <c r="DN79" i="6"/>
  <c r="DM79" i="6"/>
  <c r="DL79" i="6"/>
  <c r="DK79" i="6"/>
  <c r="DJ79" i="6"/>
  <c r="DH79" i="6"/>
  <c r="DG79" i="6"/>
  <c r="DE79" i="6"/>
  <c r="DD79" i="6"/>
  <c r="DB79" i="6"/>
  <c r="CV79" i="6"/>
  <c r="CB79" i="6"/>
  <c r="BW79" i="6"/>
  <c r="BV79" i="6"/>
  <c r="BU79" i="6"/>
  <c r="BT79" i="6"/>
  <c r="BS79" i="6"/>
  <c r="BR79" i="6"/>
  <c r="BQ79" i="6"/>
  <c r="BP79" i="6"/>
  <c r="BO79" i="6"/>
  <c r="BM79" i="6"/>
  <c r="BL79" i="6"/>
  <c r="BJ79" i="6"/>
  <c r="BH79" i="6"/>
  <c r="BG79" i="6"/>
  <c r="BD79" i="6"/>
  <c r="AJ79" i="6" s="1"/>
  <c r="AG79" i="6"/>
  <c r="DR78" i="6"/>
  <c r="DP78" i="6"/>
  <c r="DO78" i="6"/>
  <c r="DN78" i="6"/>
  <c r="DM78" i="6"/>
  <c r="DL78" i="6"/>
  <c r="DK78" i="6"/>
  <c r="DJ78" i="6"/>
  <c r="DH78" i="6"/>
  <c r="DG78" i="6"/>
  <c r="DD78" i="6"/>
  <c r="DB78" i="6"/>
  <c r="DA78" i="6"/>
  <c r="CI78" i="6"/>
  <c r="BZ78" i="6"/>
  <c r="BW78" i="6"/>
  <c r="BV78" i="6"/>
  <c r="BU78" i="6"/>
  <c r="BT78" i="6"/>
  <c r="BS78" i="6"/>
  <c r="BR78" i="6"/>
  <c r="BQ78" i="6"/>
  <c r="BP78" i="6"/>
  <c r="BO78" i="6"/>
  <c r="BL78" i="6"/>
  <c r="BJ78" i="6"/>
  <c r="BG78" i="6"/>
  <c r="AQ78" i="6"/>
  <c r="AJ78" i="6" s="1"/>
  <c r="T78" i="6"/>
  <c r="BM78" i="6" s="1"/>
  <c r="O78" i="6"/>
  <c r="BH78" i="6" s="1"/>
  <c r="DP77" i="6"/>
  <c r="DO77" i="6"/>
  <c r="DN77" i="6"/>
  <c r="DM77" i="6"/>
  <c r="DL77" i="6"/>
  <c r="DK77" i="6"/>
  <c r="DJ77" i="6"/>
  <c r="DH77" i="6"/>
  <c r="DG77" i="6"/>
  <c r="DE77" i="6"/>
  <c r="DD77" i="6"/>
  <c r="DB77" i="6"/>
  <c r="CB77" i="6"/>
  <c r="BW77" i="6"/>
  <c r="BV77" i="6"/>
  <c r="BU77" i="6"/>
  <c r="BT77" i="6"/>
  <c r="BS77" i="6"/>
  <c r="BR77" i="6"/>
  <c r="BQ77" i="6"/>
  <c r="BP77" i="6"/>
  <c r="BO77" i="6"/>
  <c r="BM77" i="6"/>
  <c r="BL77" i="6"/>
  <c r="BJ77" i="6"/>
  <c r="BH77" i="6"/>
  <c r="BG77" i="6"/>
  <c r="BD77" i="6"/>
  <c r="AJ77" i="6" s="1"/>
  <c r="AG77" i="6"/>
  <c r="DR77" i="6" s="1"/>
  <c r="M77" i="6"/>
  <c r="DR76" i="6"/>
  <c r="DP76" i="6"/>
  <c r="DO76" i="6"/>
  <c r="DN76" i="6"/>
  <c r="DM76" i="6"/>
  <c r="DL76" i="6"/>
  <c r="DK76" i="6"/>
  <c r="DJ76" i="6"/>
  <c r="DH76" i="6"/>
  <c r="DG76" i="6"/>
  <c r="DE76" i="6"/>
  <c r="DB76" i="6"/>
  <c r="CH76" i="6"/>
  <c r="DD76" i="6" s="1"/>
  <c r="BZ76" i="6"/>
  <c r="BX76" i="6"/>
  <c r="BW76" i="6"/>
  <c r="BV76" i="6"/>
  <c r="BU76" i="6"/>
  <c r="BT76" i="6"/>
  <c r="BS76" i="6"/>
  <c r="BR76" i="6"/>
  <c r="BQ76" i="6"/>
  <c r="BP76" i="6"/>
  <c r="BO76" i="6"/>
  <c r="BM76" i="6"/>
  <c r="BJ76" i="6"/>
  <c r="BH76" i="6"/>
  <c r="BG76" i="6"/>
  <c r="AP76" i="6"/>
  <c r="BL76" i="6" s="1"/>
  <c r="AJ76" i="6"/>
  <c r="M76" i="6"/>
  <c r="DR75" i="6"/>
  <c r="DP75" i="6"/>
  <c r="DO75" i="6"/>
  <c r="DN75" i="6"/>
  <c r="DL75" i="6"/>
  <c r="DK75" i="6"/>
  <c r="DJ75" i="6"/>
  <c r="DH75" i="6"/>
  <c r="DG75" i="6"/>
  <c r="DE75" i="6"/>
  <c r="DB75" i="6"/>
  <c r="CQ75" i="6"/>
  <c r="CH75" i="6"/>
  <c r="BZ75" i="6"/>
  <c r="BX75" i="6"/>
  <c r="BW75" i="6"/>
  <c r="BV75" i="6"/>
  <c r="BT75" i="6"/>
  <c r="BS75" i="6"/>
  <c r="BR75" i="6"/>
  <c r="BQ75" i="6"/>
  <c r="BP75" i="6"/>
  <c r="BO75" i="6"/>
  <c r="BM75" i="6"/>
  <c r="BJ75" i="6"/>
  <c r="BH75" i="6"/>
  <c r="BG75" i="6"/>
  <c r="AY75" i="6"/>
  <c r="BU75" i="6" s="1"/>
  <c r="AP75" i="6"/>
  <c r="M75" i="6"/>
  <c r="DR74" i="6"/>
  <c r="DP74" i="6"/>
  <c r="DO74" i="6"/>
  <c r="DN74" i="6"/>
  <c r="DM74" i="6"/>
  <c r="DL74" i="6"/>
  <c r="DK74" i="6"/>
  <c r="DJ74" i="6"/>
  <c r="DH74" i="6"/>
  <c r="DG74" i="6"/>
  <c r="DD74" i="6"/>
  <c r="DB74" i="6"/>
  <c r="CB74" i="6"/>
  <c r="BZ74" i="6"/>
  <c r="BX74" i="6"/>
  <c r="BW74" i="6"/>
  <c r="BV74" i="6"/>
  <c r="BU74" i="6"/>
  <c r="BT74" i="6"/>
  <c r="BS74" i="6"/>
  <c r="BR74" i="6"/>
  <c r="BQ74" i="6"/>
  <c r="BP74" i="6"/>
  <c r="BO74" i="6"/>
  <c r="BL74" i="6"/>
  <c r="BJ74" i="6"/>
  <c r="BH74" i="6"/>
  <c r="BG74" i="6"/>
  <c r="AJ74" i="6"/>
  <c r="T74" i="6"/>
  <c r="H74" i="6"/>
  <c r="DP73" i="6"/>
  <c r="DO73" i="6"/>
  <c r="DN73" i="6"/>
  <c r="DM73" i="6"/>
  <c r="DL73" i="6"/>
  <c r="DK73" i="6"/>
  <c r="DJ73" i="6"/>
  <c r="DH73" i="6"/>
  <c r="DG73" i="6"/>
  <c r="DE73" i="6"/>
  <c r="DD73" i="6"/>
  <c r="DB73" i="6"/>
  <c r="CV73" i="6"/>
  <c r="CB73" i="6" s="1"/>
  <c r="BW73" i="6"/>
  <c r="BV73" i="6"/>
  <c r="BU73" i="6"/>
  <c r="BT73" i="6"/>
  <c r="BS73" i="6"/>
  <c r="BR73" i="6"/>
  <c r="BQ73" i="6"/>
  <c r="BP73" i="6"/>
  <c r="BM73" i="6"/>
  <c r="BL73" i="6"/>
  <c r="BJ73" i="6"/>
  <c r="BH73" i="6"/>
  <c r="BG73" i="6"/>
  <c r="BD73" i="6"/>
  <c r="AG73" i="6"/>
  <c r="M73" i="6"/>
  <c r="DP72" i="6"/>
  <c r="DO72" i="6"/>
  <c r="DN72" i="6"/>
  <c r="DM72" i="6"/>
  <c r="DL72" i="6"/>
  <c r="DK72" i="6"/>
  <c r="DJ72" i="6"/>
  <c r="DH72" i="6"/>
  <c r="DG72" i="6"/>
  <c r="DE72" i="6"/>
  <c r="DD72" i="6"/>
  <c r="DB72" i="6"/>
  <c r="CV72" i="6"/>
  <c r="CB72" i="6" s="1"/>
  <c r="H72" i="6" s="1"/>
  <c r="BX72" i="6"/>
  <c r="BW72" i="6"/>
  <c r="BV72" i="6"/>
  <c r="BU72" i="6"/>
  <c r="BT72" i="6"/>
  <c r="BS72" i="6"/>
  <c r="BR72" i="6"/>
  <c r="BQ72" i="6"/>
  <c r="BP72" i="6"/>
  <c r="BO72" i="6"/>
  <c r="BM72" i="6"/>
  <c r="BL72" i="6"/>
  <c r="BJ72" i="6"/>
  <c r="BH72" i="6"/>
  <c r="BG72" i="6"/>
  <c r="BD72" i="6"/>
  <c r="AJ72" i="6" s="1"/>
  <c r="AG72" i="6"/>
  <c r="DP71" i="6"/>
  <c r="DO71" i="6"/>
  <c r="DN71" i="6"/>
  <c r="DM71" i="6"/>
  <c r="DL71" i="6"/>
  <c r="DK71" i="6"/>
  <c r="DJ71" i="6"/>
  <c r="DH71" i="6"/>
  <c r="DG71" i="6"/>
  <c r="DE71" i="6"/>
  <c r="DB71" i="6"/>
  <c r="CV71" i="6"/>
  <c r="CH71" i="6"/>
  <c r="DD71" i="6" s="1"/>
  <c r="BW71" i="6"/>
  <c r="BV71" i="6"/>
  <c r="BU71" i="6"/>
  <c r="BT71" i="6"/>
  <c r="BS71" i="6"/>
  <c r="BR71" i="6"/>
  <c r="BQ71" i="6"/>
  <c r="BP71" i="6"/>
  <c r="BO71" i="6"/>
  <c r="BM71" i="6"/>
  <c r="BJ71" i="6"/>
  <c r="BH71" i="6"/>
  <c r="BG71" i="6"/>
  <c r="BD71" i="6"/>
  <c r="AP71" i="6"/>
  <c r="AG71" i="6"/>
  <c r="M71" i="6" s="1"/>
  <c r="DR70" i="6"/>
  <c r="DP70" i="6"/>
  <c r="DO70" i="6"/>
  <c r="DN70" i="6"/>
  <c r="DM70" i="6"/>
  <c r="DL70" i="6"/>
  <c r="DK70" i="6"/>
  <c r="DJ70" i="6"/>
  <c r="DH70" i="6"/>
  <c r="DG70" i="6"/>
  <c r="DE70" i="6"/>
  <c r="DB70" i="6"/>
  <c r="CH70" i="6"/>
  <c r="CB70" i="6" s="1"/>
  <c r="H70" i="6" s="1"/>
  <c r="BZ70" i="6"/>
  <c r="BW70" i="6"/>
  <c r="BV70" i="6"/>
  <c r="BT70" i="6"/>
  <c r="BS70" i="6"/>
  <c r="BR70" i="6"/>
  <c r="BP70" i="6"/>
  <c r="BM70" i="6"/>
  <c r="BJ70" i="6"/>
  <c r="BH70" i="6"/>
  <c r="BG70" i="6"/>
  <c r="AY70" i="6"/>
  <c r="AP70" i="6"/>
  <c r="S70" i="6"/>
  <c r="BL70" i="6" s="1"/>
  <c r="M70" i="6"/>
  <c r="DR69" i="6"/>
  <c r="DP69" i="6"/>
  <c r="DO69" i="6"/>
  <c r="DN69" i="6"/>
  <c r="DM69" i="6"/>
  <c r="DL69" i="6"/>
  <c r="DK69" i="6"/>
  <c r="DJ69" i="6"/>
  <c r="DH69" i="6"/>
  <c r="DG69" i="6"/>
  <c r="DE69" i="6"/>
  <c r="DB69" i="6"/>
  <c r="CH69" i="6"/>
  <c r="CB69" i="6" s="1"/>
  <c r="BZ69" i="6"/>
  <c r="BW69" i="6"/>
  <c r="BV69" i="6"/>
  <c r="BU69" i="6"/>
  <c r="BT69" i="6"/>
  <c r="BS69" i="6"/>
  <c r="BR69" i="6"/>
  <c r="BP69" i="6"/>
  <c r="BM69" i="6"/>
  <c r="BJ69" i="6"/>
  <c r="BH69" i="6"/>
  <c r="BG69" i="6"/>
  <c r="AP69" i="6"/>
  <c r="AJ69" i="6"/>
  <c r="S69" i="6"/>
  <c r="M69" i="6"/>
  <c r="DP68" i="6"/>
  <c r="DO68" i="6"/>
  <c r="DN68" i="6"/>
  <c r="DM68" i="6"/>
  <c r="DL68" i="6"/>
  <c r="DK68" i="6"/>
  <c r="DJ68" i="6"/>
  <c r="DH68" i="6"/>
  <c r="DG68" i="6"/>
  <c r="DE68" i="6"/>
  <c r="DD68" i="6"/>
  <c r="DB68" i="6"/>
  <c r="CV68" i="6"/>
  <c r="CB68" i="6" s="1"/>
  <c r="BW68" i="6"/>
  <c r="BV68" i="6"/>
  <c r="BU68" i="6"/>
  <c r="BT68" i="6"/>
  <c r="BS68" i="6"/>
  <c r="BR68" i="6"/>
  <c r="BQ68" i="6"/>
  <c r="BP68" i="6"/>
  <c r="BO68" i="6"/>
  <c r="BM68" i="6"/>
  <c r="BL68" i="6"/>
  <c r="BJ68" i="6"/>
  <c r="BH68" i="6"/>
  <c r="BG68" i="6"/>
  <c r="BD68" i="6"/>
  <c r="AG68" i="6"/>
  <c r="DQ67" i="6"/>
  <c r="DI67" i="6"/>
  <c r="DC67" i="6"/>
  <c r="CY67" i="6"/>
  <c r="CU67" i="6"/>
  <c r="CS67" i="6"/>
  <c r="CN67" i="6"/>
  <c r="CM67" i="6"/>
  <c r="CL67" i="6"/>
  <c r="CG67" i="6"/>
  <c r="CC67" i="6"/>
  <c r="BK67" i="6"/>
  <c r="BC67" i="6"/>
  <c r="BA67" i="6"/>
  <c r="AV67" i="6"/>
  <c r="AU67" i="6"/>
  <c r="AT67" i="6"/>
  <c r="AO67" i="6"/>
  <c r="AM67" i="6"/>
  <c r="AM189" i="6" s="1"/>
  <c r="AK67" i="6"/>
  <c r="AF67" i="6"/>
  <c r="AE67" i="6"/>
  <c r="AD67" i="6"/>
  <c r="Y67" i="6"/>
  <c r="X67" i="6"/>
  <c r="W67" i="6"/>
  <c r="V67" i="6"/>
  <c r="U67" i="6"/>
  <c r="R67" i="6"/>
  <c r="P67" i="6"/>
  <c r="N67" i="6"/>
  <c r="G67" i="6"/>
  <c r="DP66" i="6"/>
  <c r="DO66" i="6"/>
  <c r="DN66" i="6"/>
  <c r="DM66" i="6"/>
  <c r="DL66" i="6"/>
  <c r="DK66" i="6"/>
  <c r="DJ66" i="6"/>
  <c r="DH66" i="6"/>
  <c r="DG66" i="6"/>
  <c r="DE66" i="6"/>
  <c r="DD66" i="6"/>
  <c r="DB66" i="6"/>
  <c r="CZ66" i="6"/>
  <c r="CV66" i="6"/>
  <c r="CB66" i="6" s="1"/>
  <c r="BY66" i="6"/>
  <c r="BX66" i="6"/>
  <c r="BW66" i="6"/>
  <c r="BV66" i="6"/>
  <c r="BU66" i="6"/>
  <c r="BT66" i="6"/>
  <c r="BS66" i="6"/>
  <c r="BR66" i="6"/>
  <c r="BQ66" i="6"/>
  <c r="BP66" i="6"/>
  <c r="BO66" i="6"/>
  <c r="BM66" i="6"/>
  <c r="BL66" i="6"/>
  <c r="BJ66" i="6"/>
  <c r="BI66" i="6"/>
  <c r="BG66" i="6"/>
  <c r="AJ66" i="6"/>
  <c r="AG66" i="6"/>
  <c r="BZ66" i="6" s="1"/>
  <c r="DR65" i="6"/>
  <c r="DP65" i="6"/>
  <c r="DO65" i="6"/>
  <c r="DK65" i="6"/>
  <c r="DJ65" i="6"/>
  <c r="DH65" i="6"/>
  <c r="DG65" i="6"/>
  <c r="DE65" i="6"/>
  <c r="DD65" i="6"/>
  <c r="DB65" i="6"/>
  <c r="CQ65" i="6"/>
  <c r="DM65" i="6" s="1"/>
  <c r="CP65" i="6"/>
  <c r="BZ65" i="6"/>
  <c r="BW65" i="6"/>
  <c r="BS65" i="6"/>
  <c r="BR65" i="6"/>
  <c r="BP65" i="6"/>
  <c r="BM65" i="6"/>
  <c r="BL65" i="6"/>
  <c r="BJ65" i="6"/>
  <c r="BI65" i="6"/>
  <c r="BG65" i="6"/>
  <c r="AY65" i="6"/>
  <c r="BU65" i="6" s="1"/>
  <c r="AX65" i="6"/>
  <c r="BT65" i="6" s="1"/>
  <c r="AC65" i="6"/>
  <c r="M65" i="6" s="1"/>
  <c r="DP64" i="6"/>
  <c r="DO64" i="6"/>
  <c r="DL64" i="6"/>
  <c r="DK64" i="6"/>
  <c r="DJ64" i="6"/>
  <c r="DH64" i="6"/>
  <c r="DG64" i="6"/>
  <c r="DE64" i="6"/>
  <c r="DD64" i="6"/>
  <c r="DB64" i="6"/>
  <c r="CR64" i="6"/>
  <c r="CQ64" i="6"/>
  <c r="BW64" i="6"/>
  <c r="BT64" i="6"/>
  <c r="BS64" i="6"/>
  <c r="BR64" i="6"/>
  <c r="BP64" i="6"/>
  <c r="BM64" i="6"/>
  <c r="BL64" i="6"/>
  <c r="BJ64" i="6"/>
  <c r="BI64" i="6"/>
  <c r="BG64" i="6"/>
  <c r="BD64" i="6"/>
  <c r="AZ64" i="6"/>
  <c r="AY64" i="6"/>
  <c r="BU64" i="6" s="1"/>
  <c r="AG64" i="6"/>
  <c r="DR64" i="6" s="1"/>
  <c r="AC64" i="6"/>
  <c r="M64" i="6" s="1"/>
  <c r="DR63" i="6"/>
  <c r="DP63" i="6"/>
  <c r="DO63" i="6"/>
  <c r="DM63" i="6"/>
  <c r="DL63" i="6"/>
  <c r="DK63" i="6"/>
  <c r="DJ63" i="6"/>
  <c r="DH63" i="6"/>
  <c r="DG63" i="6"/>
  <c r="DE63" i="6"/>
  <c r="DD63" i="6"/>
  <c r="DB63" i="6"/>
  <c r="CR63" i="6"/>
  <c r="BZ63" i="6"/>
  <c r="BW63" i="6"/>
  <c r="BV63" i="6"/>
  <c r="BU63" i="6"/>
  <c r="BT63" i="6"/>
  <c r="BS63" i="6"/>
  <c r="BR63" i="6"/>
  <c r="BP63" i="6"/>
  <c r="BM63" i="6"/>
  <c r="BL63" i="6"/>
  <c r="BJ63" i="6"/>
  <c r="BI63" i="6"/>
  <c r="BG63" i="6"/>
  <c r="AZ63" i="6"/>
  <c r="AJ63" i="6"/>
  <c r="M63" i="6"/>
  <c r="DR62" i="6"/>
  <c r="DP62" i="6"/>
  <c r="DO62" i="6"/>
  <c r="DL62" i="6"/>
  <c r="DK62" i="6"/>
  <c r="DJ62" i="6"/>
  <c r="DH62" i="6"/>
  <c r="DG62" i="6"/>
  <c r="DE62" i="6"/>
  <c r="DD62" i="6"/>
  <c r="DB62" i="6"/>
  <c r="CR62" i="6"/>
  <c r="DN62" i="6" s="1"/>
  <c r="CQ62" i="6"/>
  <c r="BZ62" i="6"/>
  <c r="BW62" i="6"/>
  <c r="BV62" i="6"/>
  <c r="BT62" i="6"/>
  <c r="BS62" i="6"/>
  <c r="BR62" i="6"/>
  <c r="BP62" i="6"/>
  <c r="BM62" i="6"/>
  <c r="BL62" i="6"/>
  <c r="BJ62" i="6"/>
  <c r="BI62" i="6"/>
  <c r="BG62" i="6"/>
  <c r="AY62" i="6"/>
  <c r="AJ62" i="6"/>
  <c r="AC62" i="6"/>
  <c r="M62" i="6" s="1"/>
  <c r="DP61" i="6"/>
  <c r="DO61" i="6"/>
  <c r="DN61" i="6"/>
  <c r="DM61" i="6"/>
  <c r="DL61" i="6"/>
  <c r="DK61" i="6"/>
  <c r="DJ61" i="6"/>
  <c r="DH61" i="6"/>
  <c r="DG61" i="6"/>
  <c r="DE61" i="6"/>
  <c r="DD61" i="6"/>
  <c r="DB61" i="6"/>
  <c r="CB61" i="6"/>
  <c r="H61" i="6" s="1"/>
  <c r="BZ61" i="6"/>
  <c r="BW61" i="6"/>
  <c r="BV61" i="6"/>
  <c r="BU61" i="6"/>
  <c r="BT61" i="6"/>
  <c r="BS61" i="6"/>
  <c r="BR61" i="6"/>
  <c r="BP61" i="6"/>
  <c r="BM61" i="6"/>
  <c r="BL61" i="6"/>
  <c r="BJ61" i="6"/>
  <c r="BI61" i="6"/>
  <c r="BG61" i="6"/>
  <c r="BD61" i="6"/>
  <c r="AJ61" i="6"/>
  <c r="AG61" i="6"/>
  <c r="DR61" i="6" s="1"/>
  <c r="M61" i="6"/>
  <c r="DR60" i="6"/>
  <c r="DP60" i="6"/>
  <c r="DO60" i="6"/>
  <c r="DN60" i="6"/>
  <c r="DM60" i="6"/>
  <c r="DL60" i="6"/>
  <c r="DK60" i="6"/>
  <c r="DJ60" i="6"/>
  <c r="DH60" i="6"/>
  <c r="DG60" i="6"/>
  <c r="DE60" i="6"/>
  <c r="DA60" i="6"/>
  <c r="CZ60" i="6"/>
  <c r="CH60" i="6"/>
  <c r="CF60" i="6"/>
  <c r="BZ60" i="6"/>
  <c r="BW60" i="6"/>
  <c r="BV60" i="6"/>
  <c r="BU60" i="6"/>
  <c r="BT60" i="6"/>
  <c r="BS60" i="6"/>
  <c r="BR60" i="6"/>
  <c r="BP60" i="6"/>
  <c r="BM60" i="6"/>
  <c r="BI60" i="6"/>
  <c r="BG60" i="6"/>
  <c r="AP60" i="6"/>
  <c r="AN60" i="6"/>
  <c r="S60" i="6"/>
  <c r="Q60" i="6"/>
  <c r="O60" i="6"/>
  <c r="CB59" i="6"/>
  <c r="H59" i="6" s="1"/>
  <c r="BI59" i="6"/>
  <c r="BD59" i="6"/>
  <c r="AJ59" i="6" s="1"/>
  <c r="AG59" i="6"/>
  <c r="DP58" i="6"/>
  <c r="DO58" i="6"/>
  <c r="DN58" i="6"/>
  <c r="DM58" i="6"/>
  <c r="DL58" i="6"/>
  <c r="DK58" i="6"/>
  <c r="DJ58" i="6"/>
  <c r="DH58" i="6"/>
  <c r="DG58" i="6"/>
  <c r="DE58" i="6"/>
  <c r="CF58" i="6"/>
  <c r="CB58" i="6" s="1"/>
  <c r="H58" i="6" s="1"/>
  <c r="BW58" i="6"/>
  <c r="BV58" i="6"/>
  <c r="BU58" i="6"/>
  <c r="BT58" i="6"/>
  <c r="BS58" i="6"/>
  <c r="BR58" i="6"/>
  <c r="BP58" i="6"/>
  <c r="BM58" i="6"/>
  <c r="BL58" i="6"/>
  <c r="BI58" i="6"/>
  <c r="BG58" i="6"/>
  <c r="AN58" i="6"/>
  <c r="AJ58" i="6" s="1"/>
  <c r="AG58" i="6"/>
  <c r="S58" i="6"/>
  <c r="DD58" i="6" s="1"/>
  <c r="Q58" i="6"/>
  <c r="DR57" i="6"/>
  <c r="DP57" i="6"/>
  <c r="DO57" i="6"/>
  <c r="DN57" i="6"/>
  <c r="DM57" i="6"/>
  <c r="DL57" i="6"/>
  <c r="DK57" i="6"/>
  <c r="DJ57" i="6"/>
  <c r="DH57" i="6"/>
  <c r="DG57" i="6"/>
  <c r="DE57" i="6"/>
  <c r="DB57" i="6"/>
  <c r="CH57" i="6"/>
  <c r="BZ57" i="6"/>
  <c r="BW57" i="6"/>
  <c r="BV57" i="6"/>
  <c r="BU57" i="6"/>
  <c r="BT57" i="6"/>
  <c r="BS57" i="6"/>
  <c r="BR57" i="6"/>
  <c r="BP57" i="6"/>
  <c r="BM57" i="6"/>
  <c r="BJ57" i="6"/>
  <c r="BI57" i="6"/>
  <c r="BG57" i="6"/>
  <c r="AP57" i="6"/>
  <c r="BL57" i="6" s="1"/>
  <c r="M57" i="6"/>
  <c r="DR56" i="6"/>
  <c r="DP56" i="6"/>
  <c r="DO56" i="6"/>
  <c r="DN56" i="6"/>
  <c r="DM56" i="6"/>
  <c r="DL56" i="6"/>
  <c r="DK56" i="6"/>
  <c r="DJ56" i="6"/>
  <c r="DH56" i="6"/>
  <c r="DG56" i="6"/>
  <c r="DE56" i="6"/>
  <c r="DB56" i="6"/>
  <c r="CH56" i="6"/>
  <c r="BZ56" i="6"/>
  <c r="BY56" i="6"/>
  <c r="BX56" i="6"/>
  <c r="BW56" i="6"/>
  <c r="BV56" i="6"/>
  <c r="BU56" i="6"/>
  <c r="BT56" i="6"/>
  <c r="BS56" i="6"/>
  <c r="BR56" i="6"/>
  <c r="BQ56" i="6"/>
  <c r="BP56" i="6"/>
  <c r="BO56" i="6"/>
  <c r="BM56" i="6"/>
  <c r="BJ56" i="6"/>
  <c r="BI56" i="6"/>
  <c r="BH56" i="6"/>
  <c r="BG56" i="6"/>
  <c r="AP56" i="6"/>
  <c r="BL56" i="6" s="1"/>
  <c r="AJ56" i="6"/>
  <c r="M56" i="6"/>
  <c r="AI56" i="6" s="1"/>
  <c r="BE56" i="6" s="1"/>
  <c r="DR55" i="6"/>
  <c r="DP55" i="6"/>
  <c r="DO55" i="6"/>
  <c r="DN55" i="6"/>
  <c r="DM55" i="6"/>
  <c r="DL55" i="6"/>
  <c r="DJ55" i="6"/>
  <c r="DH55" i="6"/>
  <c r="DG55" i="6"/>
  <c r="DE55" i="6"/>
  <c r="DD55" i="6"/>
  <c r="DB55" i="6"/>
  <c r="CO55" i="6"/>
  <c r="CB55" i="6" s="1"/>
  <c r="H55" i="6" s="1"/>
  <c r="BZ55" i="6"/>
  <c r="BW55" i="6"/>
  <c r="BV55" i="6"/>
  <c r="BT55" i="6"/>
  <c r="BR55" i="6"/>
  <c r="BP55" i="6"/>
  <c r="BM55" i="6"/>
  <c r="BL55" i="6"/>
  <c r="BJ55" i="6"/>
  <c r="BI55" i="6"/>
  <c r="BH55" i="6"/>
  <c r="BG55" i="6"/>
  <c r="AW55" i="6"/>
  <c r="AW194" i="6" s="1"/>
  <c r="Z55" i="6"/>
  <c r="DR54" i="6"/>
  <c r="DP54" i="6"/>
  <c r="DO54" i="6"/>
  <c r="DM54" i="6"/>
  <c r="DL54" i="6"/>
  <c r="DK54" i="6"/>
  <c r="DJ54" i="6"/>
  <c r="DH54" i="6"/>
  <c r="DG54" i="6"/>
  <c r="DE54" i="6"/>
  <c r="DB54" i="6"/>
  <c r="DA54" i="6"/>
  <c r="CR54" i="6"/>
  <c r="DN54" i="6" s="1"/>
  <c r="CH54" i="6"/>
  <c r="CD54" i="6"/>
  <c r="BZ54" i="6"/>
  <c r="BY54" i="6"/>
  <c r="BX54" i="6"/>
  <c r="BW54" i="6"/>
  <c r="BU54" i="6"/>
  <c r="BT54" i="6"/>
  <c r="BS54" i="6"/>
  <c r="BR54" i="6"/>
  <c r="BQ54" i="6"/>
  <c r="BP54" i="6"/>
  <c r="BO54" i="6"/>
  <c r="BM54" i="6"/>
  <c r="BJ54" i="6"/>
  <c r="BI54" i="6"/>
  <c r="BH54" i="6"/>
  <c r="BG54" i="6"/>
  <c r="AZ54" i="6"/>
  <c r="BV54" i="6" s="1"/>
  <c r="AP54" i="6"/>
  <c r="BL54" i="6" s="1"/>
  <c r="AL54" i="6"/>
  <c r="O54" i="6"/>
  <c r="M54" i="6" s="1"/>
  <c r="DP53" i="6"/>
  <c r="DO53" i="6"/>
  <c r="DN53" i="6"/>
  <c r="DM53" i="6"/>
  <c r="DL53" i="6"/>
  <c r="DK53" i="6"/>
  <c r="DJ53" i="6"/>
  <c r="DH53" i="6"/>
  <c r="DG53" i="6"/>
  <c r="DE53" i="6"/>
  <c r="DD53" i="6"/>
  <c r="DB53" i="6"/>
  <c r="CV53" i="6"/>
  <c r="CB53" i="6" s="1"/>
  <c r="BY53" i="6"/>
  <c r="BX53" i="6"/>
  <c r="BW53" i="6"/>
  <c r="BV53" i="6"/>
  <c r="BU53" i="6"/>
  <c r="BT53" i="6"/>
  <c r="BS53" i="6"/>
  <c r="BR53" i="6"/>
  <c r="BQ53" i="6"/>
  <c r="BP53" i="6"/>
  <c r="BO53" i="6"/>
  <c r="BM53" i="6"/>
  <c r="BL53" i="6"/>
  <c r="BJ53" i="6"/>
  <c r="BI53" i="6"/>
  <c r="BH53" i="6"/>
  <c r="BG53" i="6"/>
  <c r="BD53" i="6"/>
  <c r="AJ53" i="6" s="1"/>
  <c r="AG53" i="6"/>
  <c r="DR52" i="6"/>
  <c r="DP52" i="6"/>
  <c r="DO52" i="6"/>
  <c r="DN52" i="6"/>
  <c r="DM52" i="6"/>
  <c r="DL52" i="6"/>
  <c r="DJ52" i="6"/>
  <c r="DH52" i="6"/>
  <c r="DG52" i="6"/>
  <c r="DE52" i="6"/>
  <c r="DD52" i="6"/>
  <c r="DB52" i="6"/>
  <c r="CO52" i="6"/>
  <c r="BZ52" i="6"/>
  <c r="BW52" i="6"/>
  <c r="BV52" i="6"/>
  <c r="BU52" i="6"/>
  <c r="BT52" i="6"/>
  <c r="BS52" i="6"/>
  <c r="BR52" i="6"/>
  <c r="BQ52" i="6"/>
  <c r="BP52" i="6"/>
  <c r="BO52" i="6"/>
  <c r="BM52" i="6"/>
  <c r="BL52" i="6"/>
  <c r="BJ52" i="6"/>
  <c r="BI52" i="6"/>
  <c r="BH52" i="6"/>
  <c r="BG52" i="6"/>
  <c r="AJ52" i="6"/>
  <c r="AI52" i="6" s="1"/>
  <c r="BE52" i="6" s="1"/>
  <c r="M52" i="6"/>
  <c r="DR51" i="6"/>
  <c r="DP51" i="6"/>
  <c r="DO51" i="6"/>
  <c r="DN51" i="6"/>
  <c r="DM51" i="6"/>
  <c r="DL51" i="6"/>
  <c r="DK51" i="6"/>
  <c r="DJ51" i="6"/>
  <c r="DH51" i="6"/>
  <c r="DG51" i="6"/>
  <c r="DE51" i="6"/>
  <c r="DD51" i="6"/>
  <c r="DB51" i="6"/>
  <c r="CB51" i="6"/>
  <c r="H51" i="6" s="1"/>
  <c r="BW51" i="6"/>
  <c r="BV51" i="6"/>
  <c r="BU51" i="6"/>
  <c r="BT51" i="6"/>
  <c r="BS51" i="6"/>
  <c r="BR51" i="6"/>
  <c r="BP51" i="6"/>
  <c r="BM51" i="6"/>
  <c r="BL51" i="6"/>
  <c r="BJ51" i="6"/>
  <c r="BI51" i="6"/>
  <c r="BH51" i="6"/>
  <c r="BG51" i="6"/>
  <c r="BD51" i="6"/>
  <c r="AG51" i="6"/>
  <c r="M51" i="6"/>
  <c r="CA51" i="6" s="1"/>
  <c r="CW51" i="6" s="1"/>
  <c r="DP50" i="6"/>
  <c r="DO50" i="6"/>
  <c r="DN50" i="6"/>
  <c r="DL50" i="6"/>
  <c r="DK50" i="6"/>
  <c r="DJ50" i="6"/>
  <c r="DH50" i="6"/>
  <c r="DG50" i="6"/>
  <c r="DE50" i="6"/>
  <c r="DD50" i="6"/>
  <c r="DB50" i="6"/>
  <c r="CV50" i="6"/>
  <c r="DR50" i="6" s="1"/>
  <c r="CQ50" i="6"/>
  <c r="BW50" i="6"/>
  <c r="BV50" i="6"/>
  <c r="BT50" i="6"/>
  <c r="BS50" i="6"/>
  <c r="BR50" i="6"/>
  <c r="BP50" i="6"/>
  <c r="BM50" i="6"/>
  <c r="BL50" i="6"/>
  <c r="BJ50" i="6"/>
  <c r="BI50" i="6"/>
  <c r="BH50" i="6"/>
  <c r="BG50" i="6"/>
  <c r="BD50" i="6"/>
  <c r="AJ50" i="6" s="1"/>
  <c r="AG50" i="6"/>
  <c r="AB50" i="6"/>
  <c r="M50" i="6"/>
  <c r="DR49" i="6"/>
  <c r="DP49" i="6"/>
  <c r="DO49" i="6"/>
  <c r="DN49" i="6"/>
  <c r="DM49" i="6"/>
  <c r="DL49" i="6"/>
  <c r="DK49" i="6"/>
  <c r="DJ49" i="6"/>
  <c r="DH49" i="6"/>
  <c r="DG49" i="6"/>
  <c r="DE49" i="6"/>
  <c r="DD49" i="6"/>
  <c r="DB49" i="6"/>
  <c r="DA49" i="6"/>
  <c r="CD49" i="6"/>
  <c r="CB49" i="6" s="1"/>
  <c r="H49" i="6" s="1"/>
  <c r="BZ49" i="6"/>
  <c r="BW49" i="6"/>
  <c r="BU49" i="6"/>
  <c r="BT49" i="6"/>
  <c r="BS49" i="6"/>
  <c r="BR49" i="6"/>
  <c r="BP49" i="6"/>
  <c r="BM49" i="6"/>
  <c r="BL49" i="6"/>
  <c r="BJ49" i="6"/>
  <c r="BI49" i="6"/>
  <c r="BG49" i="6"/>
  <c r="AZ49" i="6"/>
  <c r="AJ49" i="6" s="1"/>
  <c r="O49" i="6"/>
  <c r="BH49" i="6" s="1"/>
  <c r="DR48" i="6"/>
  <c r="DP48" i="6"/>
  <c r="DO48" i="6"/>
  <c r="DK48" i="6"/>
  <c r="DJ48" i="6"/>
  <c r="DH48" i="6"/>
  <c r="DB48" i="6"/>
  <c r="DA48" i="6"/>
  <c r="CQ48" i="6"/>
  <c r="CK48" i="6"/>
  <c r="CK67" i="6" s="1"/>
  <c r="CJ48" i="6"/>
  <c r="CI48" i="6"/>
  <c r="CH48" i="6"/>
  <c r="CD48" i="6"/>
  <c r="BZ48" i="6"/>
  <c r="BW48" i="6"/>
  <c r="BS48" i="6"/>
  <c r="BR48" i="6"/>
  <c r="BQ48" i="6"/>
  <c r="BP48" i="6"/>
  <c r="BJ48" i="6"/>
  <c r="BI48" i="6"/>
  <c r="BG48" i="6"/>
  <c r="AZ48" i="6"/>
  <c r="AY48" i="6"/>
  <c r="BU48" i="6" s="1"/>
  <c r="AX48" i="6"/>
  <c r="AS48" i="6"/>
  <c r="AR48" i="6"/>
  <c r="BN48" i="6" s="1"/>
  <c r="BN194" i="6" s="1"/>
  <c r="AQ48" i="6"/>
  <c r="AP48" i="6"/>
  <c r="AL48" i="6"/>
  <c r="AC48" i="6"/>
  <c r="BV48" i="6" s="1"/>
  <c r="AB48" i="6"/>
  <c r="AA48" i="6"/>
  <c r="BT48" i="6" s="1"/>
  <c r="T48" i="6"/>
  <c r="S48" i="6"/>
  <c r="O48" i="6"/>
  <c r="DR47" i="6"/>
  <c r="DP47" i="6"/>
  <c r="DO47" i="6"/>
  <c r="DN47" i="6"/>
  <c r="DM47" i="6"/>
  <c r="DK47" i="6"/>
  <c r="DJ47" i="6"/>
  <c r="DH47" i="6"/>
  <c r="DG47" i="6"/>
  <c r="DE47" i="6"/>
  <c r="DD47" i="6"/>
  <c r="DB47" i="6"/>
  <c r="DA47" i="6"/>
  <c r="CP47" i="6"/>
  <c r="CB47" i="6" s="1"/>
  <c r="H47" i="6" s="1"/>
  <c r="BZ47" i="6"/>
  <c r="BW47" i="6"/>
  <c r="BV47" i="6"/>
  <c r="BU47" i="6"/>
  <c r="BS47" i="6"/>
  <c r="BR47" i="6"/>
  <c r="BQ47" i="6"/>
  <c r="BP47" i="6"/>
  <c r="BO47" i="6"/>
  <c r="BM47" i="6"/>
  <c r="BL47" i="6"/>
  <c r="BJ47" i="6"/>
  <c r="BI47" i="6"/>
  <c r="BG47" i="6"/>
  <c r="AX47" i="6"/>
  <c r="AJ47" i="6" s="1"/>
  <c r="AA47" i="6"/>
  <c r="O47" i="6"/>
  <c r="CZ47" i="6" s="1"/>
  <c r="DP46" i="6"/>
  <c r="DO46" i="6"/>
  <c r="DN46" i="6"/>
  <c r="DM46" i="6"/>
  <c r="DL46" i="6"/>
  <c r="DK46" i="6"/>
  <c r="DJ46" i="6"/>
  <c r="DH46" i="6"/>
  <c r="DG46" i="6"/>
  <c r="DE46" i="6"/>
  <c r="DD46" i="6"/>
  <c r="DB46" i="6"/>
  <c r="CV46" i="6"/>
  <c r="BW46" i="6"/>
  <c r="BV46" i="6"/>
  <c r="BU46" i="6"/>
  <c r="BT46" i="6"/>
  <c r="BS46" i="6"/>
  <c r="BR46" i="6"/>
  <c r="BQ46" i="6"/>
  <c r="BP46" i="6"/>
  <c r="BO46" i="6"/>
  <c r="BM46" i="6"/>
  <c r="BL46" i="6"/>
  <c r="BJ46" i="6"/>
  <c r="BI46" i="6"/>
  <c r="BG46" i="6"/>
  <c r="BD46" i="6"/>
  <c r="AG46" i="6"/>
  <c r="M46" i="6" s="1"/>
  <c r="DR45" i="6"/>
  <c r="DP45" i="6"/>
  <c r="DO45" i="6"/>
  <c r="DN45" i="6"/>
  <c r="DM45" i="6"/>
  <c r="DL45" i="6"/>
  <c r="DK45" i="6"/>
  <c r="DJ45" i="6"/>
  <c r="DH45" i="6"/>
  <c r="DG45" i="6"/>
  <c r="DD45" i="6"/>
  <c r="DB45" i="6"/>
  <c r="DA45" i="6"/>
  <c r="CI45" i="6"/>
  <c r="CD45" i="6"/>
  <c r="BZ45" i="6"/>
  <c r="BW45" i="6"/>
  <c r="BU45" i="6"/>
  <c r="BT45" i="6"/>
  <c r="BS45" i="6"/>
  <c r="BR45" i="6"/>
  <c r="BQ45" i="6"/>
  <c r="BP45" i="6"/>
  <c r="BO45" i="6"/>
  <c r="BL45" i="6"/>
  <c r="BJ45" i="6"/>
  <c r="BI45" i="6"/>
  <c r="BG45" i="6"/>
  <c r="AZ45" i="6"/>
  <c r="BV45" i="6" s="1"/>
  <c r="AQ45" i="6"/>
  <c r="AL45" i="6"/>
  <c r="T45" i="6"/>
  <c r="O45" i="6"/>
  <c r="DR44" i="6"/>
  <c r="DP44" i="6"/>
  <c r="DO44" i="6"/>
  <c r="DN44" i="6"/>
  <c r="DM44" i="6"/>
  <c r="DL44" i="6"/>
  <c r="DK44" i="6"/>
  <c r="DJ44" i="6"/>
  <c r="DH44" i="6"/>
  <c r="DG44" i="6"/>
  <c r="DD44" i="6"/>
  <c r="DB44" i="6"/>
  <c r="DA44" i="6"/>
  <c r="CI44" i="6"/>
  <c r="CD44" i="6"/>
  <c r="BZ44" i="6"/>
  <c r="BW44" i="6"/>
  <c r="BU44" i="6"/>
  <c r="BT44" i="6"/>
  <c r="BS44" i="6"/>
  <c r="BR44" i="6"/>
  <c r="BQ44" i="6"/>
  <c r="BP44" i="6"/>
  <c r="BO44" i="6"/>
  <c r="BL44" i="6"/>
  <c r="BJ44" i="6"/>
  <c r="BI44" i="6"/>
  <c r="BG44" i="6"/>
  <c r="AZ44" i="6"/>
  <c r="BV44" i="6" s="1"/>
  <c r="AQ44" i="6"/>
  <c r="AL44" i="6"/>
  <c r="T44" i="6"/>
  <c r="M44" i="6" s="1"/>
  <c r="O44" i="6"/>
  <c r="DR43" i="6"/>
  <c r="DP43" i="6"/>
  <c r="DO43" i="6"/>
  <c r="DN43" i="6"/>
  <c r="DM43" i="6"/>
  <c r="DL43" i="6"/>
  <c r="DK43" i="6"/>
  <c r="DJ43" i="6"/>
  <c r="DH43" i="6"/>
  <c r="DG43" i="6"/>
  <c r="DE43" i="6"/>
  <c r="CH43" i="6"/>
  <c r="CB43" i="6" s="1"/>
  <c r="H43" i="6" s="1"/>
  <c r="BZ43" i="6"/>
  <c r="BW43" i="6"/>
  <c r="BV43" i="6"/>
  <c r="BU43" i="6"/>
  <c r="BT43" i="6"/>
  <c r="BS43" i="6"/>
  <c r="BR43" i="6"/>
  <c r="BM43" i="6"/>
  <c r="BJ43" i="6"/>
  <c r="BI43" i="6"/>
  <c r="BG43" i="6"/>
  <c r="AP43" i="6"/>
  <c r="AJ43" i="6" s="1"/>
  <c r="S43" i="6"/>
  <c r="DR42" i="6"/>
  <c r="DP42" i="6"/>
  <c r="DO42" i="6"/>
  <c r="DN42" i="6"/>
  <c r="DM42" i="6"/>
  <c r="DL42" i="6"/>
  <c r="DK42" i="6"/>
  <c r="DJ42" i="6"/>
  <c r="DH42" i="6"/>
  <c r="DG42" i="6"/>
  <c r="DE42" i="6"/>
  <c r="CH42" i="6"/>
  <c r="DD42" i="6" s="1"/>
  <c r="BZ42" i="6"/>
  <c r="BW42" i="6"/>
  <c r="BV42" i="6"/>
  <c r="BU42" i="6"/>
  <c r="BT42" i="6"/>
  <c r="BS42" i="6"/>
  <c r="BR42" i="6"/>
  <c r="BQ42" i="6"/>
  <c r="BP42" i="6"/>
  <c r="BO42" i="6"/>
  <c r="BM42" i="6"/>
  <c r="BL42" i="6"/>
  <c r="BJ42" i="6"/>
  <c r="BI42" i="6"/>
  <c r="BG42" i="6"/>
  <c r="AP42" i="6"/>
  <c r="AJ42" i="6" s="1"/>
  <c r="M42" i="6"/>
  <c r="DR41" i="6"/>
  <c r="DP41" i="6"/>
  <c r="DO41" i="6"/>
  <c r="DN41" i="6"/>
  <c r="DM41" i="6"/>
  <c r="DL41" i="6"/>
  <c r="DK41" i="6"/>
  <c r="DJ41" i="6"/>
  <c r="DH41" i="6"/>
  <c r="DG41" i="6"/>
  <c r="DE41" i="6"/>
  <c r="CH41" i="6"/>
  <c r="CB41" i="6" s="1"/>
  <c r="H41" i="6" s="1"/>
  <c r="BZ41" i="6"/>
  <c r="BW41" i="6"/>
  <c r="BV41" i="6"/>
  <c r="BU41" i="6"/>
  <c r="BT41" i="6"/>
  <c r="BS41" i="6"/>
  <c r="BR41" i="6"/>
  <c r="BQ41" i="6"/>
  <c r="BP41" i="6"/>
  <c r="BO41" i="6"/>
  <c r="BM41" i="6"/>
  <c r="BJ41" i="6"/>
  <c r="BI41" i="6"/>
  <c r="BG41" i="6"/>
  <c r="AP41" i="6"/>
  <c r="AJ41" i="6" s="1"/>
  <c r="S41" i="6"/>
  <c r="M41" i="6" s="1"/>
  <c r="CA41" i="6" s="1"/>
  <c r="CW41" i="6" s="1"/>
  <c r="DR40" i="6"/>
  <c r="DP40" i="6"/>
  <c r="DO40" i="6"/>
  <c r="DN40" i="6"/>
  <c r="DM40" i="6"/>
  <c r="DL40" i="6"/>
  <c r="DK40" i="6"/>
  <c r="DJ40" i="6"/>
  <c r="DH40" i="6"/>
  <c r="DG40" i="6"/>
  <c r="DE40" i="6"/>
  <c r="CH40" i="6"/>
  <c r="DD40" i="6" s="1"/>
  <c r="BZ40" i="6"/>
  <c r="BW40" i="6"/>
  <c r="BV40" i="6"/>
  <c r="BU40" i="6"/>
  <c r="BT40" i="6"/>
  <c r="BS40" i="6"/>
  <c r="BR40" i="6"/>
  <c r="BQ40" i="6"/>
  <c r="BP40" i="6"/>
  <c r="BO40" i="6"/>
  <c r="BM40" i="6"/>
  <c r="BJ40" i="6"/>
  <c r="BI40" i="6"/>
  <c r="BG40" i="6"/>
  <c r="AP40" i="6"/>
  <c r="M40" i="6"/>
  <c r="DR39" i="6"/>
  <c r="DO39" i="6"/>
  <c r="DN39" i="6"/>
  <c r="DL39" i="6"/>
  <c r="DK39" i="6"/>
  <c r="DJ39" i="6"/>
  <c r="DH39" i="6"/>
  <c r="DG39" i="6"/>
  <c r="DE39" i="6"/>
  <c r="CT39" i="6"/>
  <c r="DP39" i="6" s="1"/>
  <c r="CQ39" i="6"/>
  <c r="CH39" i="6"/>
  <c r="BZ39" i="6"/>
  <c r="BW39" i="6"/>
  <c r="BV39" i="6"/>
  <c r="BT39" i="6"/>
  <c r="BS39" i="6"/>
  <c r="BR39" i="6"/>
  <c r="BQ39" i="6"/>
  <c r="BP39" i="6"/>
  <c r="BO39" i="6"/>
  <c r="BM39" i="6"/>
  <c r="BJ39" i="6"/>
  <c r="BI39" i="6"/>
  <c r="BG39" i="6"/>
  <c r="BB39" i="6"/>
  <c r="BB194" i="6" s="1"/>
  <c r="AY39" i="6"/>
  <c r="AP39" i="6"/>
  <c r="BL39" i="6" s="1"/>
  <c r="AB39" i="6"/>
  <c r="DR38" i="6"/>
  <c r="DP38" i="6"/>
  <c r="DO38" i="6"/>
  <c r="DN38" i="6"/>
  <c r="DM38" i="6"/>
  <c r="DL38" i="6"/>
  <c r="DK38" i="6"/>
  <c r="DJ38" i="6"/>
  <c r="DH38" i="6"/>
  <c r="DG38" i="6"/>
  <c r="DE38" i="6"/>
  <c r="DD38" i="6"/>
  <c r="CB38" i="6"/>
  <c r="BZ38" i="6"/>
  <c r="BW38" i="6"/>
  <c r="BV38" i="6"/>
  <c r="BU38" i="6"/>
  <c r="BT38" i="6"/>
  <c r="BS38" i="6"/>
  <c r="BR38" i="6"/>
  <c r="BQ38" i="6"/>
  <c r="BP38" i="6"/>
  <c r="BO38" i="6"/>
  <c r="BM38" i="6"/>
  <c r="BJ38" i="6"/>
  <c r="BI38" i="6"/>
  <c r="BG38" i="6"/>
  <c r="AP38" i="6"/>
  <c r="BL38" i="6" s="1"/>
  <c r="AJ38" i="6"/>
  <c r="M38" i="6"/>
  <c r="DR37" i="6"/>
  <c r="DP37" i="6"/>
  <c r="DO37" i="6"/>
  <c r="DM37" i="6"/>
  <c r="DL37" i="6"/>
  <c r="DK37" i="6"/>
  <c r="DJ37" i="6"/>
  <c r="DH37" i="6"/>
  <c r="DG37" i="6"/>
  <c r="DE37" i="6"/>
  <c r="DB37" i="6"/>
  <c r="DA37" i="6"/>
  <c r="CR37" i="6"/>
  <c r="DN37" i="6" s="1"/>
  <c r="CH37" i="6"/>
  <c r="DD37" i="6" s="1"/>
  <c r="CD37" i="6"/>
  <c r="BZ37" i="6"/>
  <c r="BW37" i="6"/>
  <c r="BU37" i="6"/>
  <c r="BT37" i="6"/>
  <c r="BS37" i="6"/>
  <c r="BR37" i="6"/>
  <c r="BP37" i="6"/>
  <c r="BM37" i="6"/>
  <c r="BJ37" i="6"/>
  <c r="BI37" i="6"/>
  <c r="BG37" i="6"/>
  <c r="AZ37" i="6"/>
  <c r="AP37" i="6"/>
  <c r="BL37" i="6" s="1"/>
  <c r="AL37" i="6"/>
  <c r="O37" i="6"/>
  <c r="DR36" i="6"/>
  <c r="DP36" i="6"/>
  <c r="DO36" i="6"/>
  <c r="DN36" i="6"/>
  <c r="DM36" i="6"/>
  <c r="DL36" i="6"/>
  <c r="DK36" i="6"/>
  <c r="DJ36" i="6"/>
  <c r="DH36" i="6"/>
  <c r="DG36" i="6"/>
  <c r="DE36" i="6"/>
  <c r="DD36" i="6"/>
  <c r="DB36" i="6"/>
  <c r="DA36" i="6"/>
  <c r="CD36" i="6"/>
  <c r="BZ36" i="6"/>
  <c r="BW36" i="6"/>
  <c r="BV36" i="6"/>
  <c r="BU36" i="6"/>
  <c r="BT36" i="6"/>
  <c r="BS36" i="6"/>
  <c r="BR36" i="6"/>
  <c r="BP36" i="6"/>
  <c r="BM36" i="6"/>
  <c r="BL36" i="6"/>
  <c r="BJ36" i="6"/>
  <c r="BI36" i="6"/>
  <c r="BG36" i="6"/>
  <c r="AJ36" i="6"/>
  <c r="O36" i="6"/>
  <c r="BH36" i="6" s="1"/>
  <c r="M36" i="6"/>
  <c r="DR35" i="6"/>
  <c r="DP35" i="6"/>
  <c r="DO35" i="6"/>
  <c r="DN35" i="6"/>
  <c r="DM35" i="6"/>
  <c r="DL35" i="6"/>
  <c r="DK35" i="6"/>
  <c r="DJ35" i="6"/>
  <c r="DH35" i="6"/>
  <c r="DG35" i="6"/>
  <c r="CH35" i="6"/>
  <c r="CF35" i="6"/>
  <c r="CE35" i="6"/>
  <c r="DA35" i="6" s="1"/>
  <c r="BZ35" i="6"/>
  <c r="BW35" i="6"/>
  <c r="BV35" i="6"/>
  <c r="BU35" i="6"/>
  <c r="BT35" i="6"/>
  <c r="BS35" i="6"/>
  <c r="BR35" i="6"/>
  <c r="BP35" i="6"/>
  <c r="BM35" i="6"/>
  <c r="BI35" i="6"/>
  <c r="BG35" i="6"/>
  <c r="AP35" i="6"/>
  <c r="AN35" i="6"/>
  <c r="T35" i="6"/>
  <c r="S35" i="6"/>
  <c r="Q35" i="6"/>
  <c r="O35" i="6"/>
  <c r="CZ35" i="6" s="1"/>
  <c r="M35" i="6"/>
  <c r="DQ34" i="6"/>
  <c r="DI34" i="6"/>
  <c r="DF34" i="6"/>
  <c r="CU34" i="6"/>
  <c r="CT34" i="6"/>
  <c r="CS34" i="6"/>
  <c r="CO34" i="6"/>
  <c r="CN34" i="6"/>
  <c r="CM34" i="6"/>
  <c r="CL34" i="6"/>
  <c r="CK34" i="6"/>
  <c r="CJ34" i="6"/>
  <c r="CG34" i="6"/>
  <c r="CF34" i="6"/>
  <c r="CD34" i="6"/>
  <c r="CC34" i="6"/>
  <c r="BN34" i="6"/>
  <c r="BK34" i="6"/>
  <c r="BI34" i="6"/>
  <c r="BC34" i="6"/>
  <c r="BB34" i="6"/>
  <c r="BA34" i="6"/>
  <c r="AW34" i="6"/>
  <c r="AV34" i="6"/>
  <c r="AU34" i="6"/>
  <c r="AT34" i="6"/>
  <c r="AS34" i="6"/>
  <c r="AR34" i="6"/>
  <c r="AO34" i="6"/>
  <c r="AN34" i="6"/>
  <c r="AL34" i="6"/>
  <c r="AK34" i="6"/>
  <c r="AF34" i="6"/>
  <c r="AE34" i="6"/>
  <c r="AD34" i="6"/>
  <c r="AC34" i="6"/>
  <c r="AA34" i="6"/>
  <c r="Z34" i="6"/>
  <c r="Y34" i="6"/>
  <c r="X34" i="6"/>
  <c r="W34" i="6"/>
  <c r="V34" i="6"/>
  <c r="U34" i="6"/>
  <c r="R34" i="6"/>
  <c r="Q34" i="6"/>
  <c r="P34" i="6"/>
  <c r="N34" i="6"/>
  <c r="G34" i="6"/>
  <c r="DR33" i="6"/>
  <c r="DP33" i="6"/>
  <c r="DO33" i="6"/>
  <c r="DN33" i="6"/>
  <c r="DM33" i="6"/>
  <c r="DK33" i="6"/>
  <c r="DJ33" i="6"/>
  <c r="DH33" i="6"/>
  <c r="DG33" i="6"/>
  <c r="DE33" i="6"/>
  <c r="DD33" i="6"/>
  <c r="DB33" i="6"/>
  <c r="CZ33" i="6"/>
  <c r="CY33" i="6"/>
  <c r="CP33" i="6"/>
  <c r="BW33" i="6"/>
  <c r="BV33" i="6"/>
  <c r="BU33" i="6"/>
  <c r="BS33" i="6"/>
  <c r="BR33" i="6"/>
  <c r="BM33" i="6"/>
  <c r="BL33" i="6"/>
  <c r="BJ33" i="6"/>
  <c r="BH33" i="6"/>
  <c r="BG33" i="6"/>
  <c r="BD33" i="6"/>
  <c r="BZ33" i="6" s="1"/>
  <c r="AX33" i="6"/>
  <c r="BT33" i="6" s="1"/>
  <c r="M33" i="6"/>
  <c r="DR32" i="6"/>
  <c r="DP32" i="6"/>
  <c r="DO32" i="6"/>
  <c r="DN32" i="6"/>
  <c r="DK32" i="6"/>
  <c r="DJ32" i="6"/>
  <c r="DH32" i="6"/>
  <c r="DG32" i="6"/>
  <c r="DE32" i="6"/>
  <c r="DD32" i="6"/>
  <c r="DC32" i="6"/>
  <c r="DB32" i="6"/>
  <c r="CZ32" i="6"/>
  <c r="CY32" i="6"/>
  <c r="CP32" i="6"/>
  <c r="DL32" i="6" s="1"/>
  <c r="BZ32" i="6"/>
  <c r="BW32" i="6"/>
  <c r="BV32" i="6"/>
  <c r="BS32" i="6"/>
  <c r="BR32" i="6"/>
  <c r="BM32" i="6"/>
  <c r="BL32" i="6"/>
  <c r="BJ32" i="6"/>
  <c r="BH32" i="6"/>
  <c r="BG32" i="6"/>
  <c r="AY32" i="6"/>
  <c r="BU32" i="6" s="1"/>
  <c r="AX32" i="6"/>
  <c r="BT32" i="6" s="1"/>
  <c r="M32" i="6"/>
  <c r="DR31" i="6"/>
  <c r="DP31" i="6"/>
  <c r="DO31" i="6"/>
  <c r="DN31" i="6"/>
  <c r="DM31" i="6"/>
  <c r="DK31" i="6"/>
  <c r="DJ31" i="6"/>
  <c r="DH31" i="6"/>
  <c r="DG31" i="6"/>
  <c r="DE31" i="6"/>
  <c r="DD31" i="6"/>
  <c r="DC31" i="6"/>
  <c r="DB31" i="6"/>
  <c r="CZ31" i="6"/>
  <c r="CY31" i="6"/>
  <c r="CP31" i="6"/>
  <c r="DL31" i="6" s="1"/>
  <c r="BZ31" i="6"/>
  <c r="BW31" i="6"/>
  <c r="BV31" i="6"/>
  <c r="BU31" i="6"/>
  <c r="BS31" i="6"/>
  <c r="BR31" i="6"/>
  <c r="BM31" i="6"/>
  <c r="BL31" i="6"/>
  <c r="BJ31" i="6"/>
  <c r="BH31" i="6"/>
  <c r="BG31" i="6"/>
  <c r="AX31" i="6"/>
  <c r="BT31" i="6" s="1"/>
  <c r="M31" i="6"/>
  <c r="DR30" i="6"/>
  <c r="DP30" i="6"/>
  <c r="DO30" i="6"/>
  <c r="DN30" i="6"/>
  <c r="DM30" i="6"/>
  <c r="DK30" i="6"/>
  <c r="DJ30" i="6"/>
  <c r="DH30" i="6"/>
  <c r="DG30" i="6"/>
  <c r="DE30" i="6"/>
  <c r="DD30" i="6"/>
  <c r="DC30" i="6"/>
  <c r="DB30" i="6"/>
  <c r="CZ30" i="6"/>
  <c r="CY30" i="6"/>
  <c r="CP30" i="6"/>
  <c r="DL30" i="6" s="1"/>
  <c r="BZ30" i="6"/>
  <c r="BW30" i="6"/>
  <c r="BV30" i="6"/>
  <c r="BU30" i="6"/>
  <c r="BS30" i="6"/>
  <c r="BR30" i="6"/>
  <c r="BM30" i="6"/>
  <c r="BL30" i="6"/>
  <c r="BJ30" i="6"/>
  <c r="BH30" i="6"/>
  <c r="BG30" i="6"/>
  <c r="AX30" i="6"/>
  <c r="M30" i="6"/>
  <c r="DR29" i="6"/>
  <c r="DP29" i="6"/>
  <c r="DO29" i="6"/>
  <c r="DN29" i="6"/>
  <c r="DM29" i="6"/>
  <c r="DL29" i="6"/>
  <c r="DK29" i="6"/>
  <c r="DJ29" i="6"/>
  <c r="DH29" i="6"/>
  <c r="DG29" i="6"/>
  <c r="DE29" i="6"/>
  <c r="DD29" i="6"/>
  <c r="DC29" i="6"/>
  <c r="DB29" i="6"/>
  <c r="CZ29" i="6"/>
  <c r="CY29" i="6"/>
  <c r="CB29" i="6"/>
  <c r="BZ29" i="6"/>
  <c r="BW29" i="6"/>
  <c r="BV29" i="6"/>
  <c r="BU29" i="6"/>
  <c r="BT29" i="6"/>
  <c r="BS29" i="6"/>
  <c r="BR29" i="6"/>
  <c r="BM29" i="6"/>
  <c r="BL29" i="6"/>
  <c r="BJ29" i="6"/>
  <c r="BH29" i="6"/>
  <c r="BG29" i="6"/>
  <c r="AJ29" i="6"/>
  <c r="AI29" i="6" s="1"/>
  <c r="BE29" i="6" s="1"/>
  <c r="M29" i="6"/>
  <c r="DR28" i="6"/>
  <c r="DP28" i="6"/>
  <c r="DO28" i="6"/>
  <c r="DN28" i="6"/>
  <c r="DM28" i="6"/>
  <c r="DL28" i="6"/>
  <c r="DK28" i="6"/>
  <c r="DJ28" i="6"/>
  <c r="DH28" i="6"/>
  <c r="DG28" i="6"/>
  <c r="DE28" i="6"/>
  <c r="DD28" i="6"/>
  <c r="DC28" i="6"/>
  <c r="DB28" i="6"/>
  <c r="CZ28" i="6"/>
  <c r="CY28" i="6"/>
  <c r="CB28" i="6"/>
  <c r="BZ28" i="6"/>
  <c r="BW28" i="6"/>
  <c r="BV28" i="6"/>
  <c r="BU28" i="6"/>
  <c r="BT28" i="6"/>
  <c r="BS28" i="6"/>
  <c r="BR28" i="6"/>
  <c r="BM28" i="6"/>
  <c r="BL28" i="6"/>
  <c r="BJ28" i="6"/>
  <c r="BH28" i="6"/>
  <c r="BG28" i="6"/>
  <c r="AJ28" i="6"/>
  <c r="M28" i="6"/>
  <c r="DR27" i="6"/>
  <c r="DP27" i="6"/>
  <c r="DO27" i="6"/>
  <c r="DN27" i="6"/>
  <c r="DM27" i="6"/>
  <c r="DL27" i="6"/>
  <c r="DK27" i="6"/>
  <c r="DJ27" i="6"/>
  <c r="DH27" i="6"/>
  <c r="DG27" i="6"/>
  <c r="DE27" i="6"/>
  <c r="DD27" i="6"/>
  <c r="DC27" i="6"/>
  <c r="DB27" i="6"/>
  <c r="CZ27" i="6"/>
  <c r="CY27" i="6"/>
  <c r="CB27" i="6"/>
  <c r="BZ27" i="6"/>
  <c r="BW27" i="6"/>
  <c r="BV27" i="6"/>
  <c r="BU27" i="6"/>
  <c r="BT27" i="6"/>
  <c r="BS27" i="6"/>
  <c r="BR27" i="6"/>
  <c r="BM27" i="6"/>
  <c r="BL27" i="6"/>
  <c r="BJ27" i="6"/>
  <c r="BH27" i="6"/>
  <c r="BG27" i="6"/>
  <c r="AJ27" i="6"/>
  <c r="M27" i="6"/>
  <c r="H27" i="6"/>
  <c r="DR26" i="6"/>
  <c r="DP26" i="6"/>
  <c r="DO26" i="6"/>
  <c r="DN26" i="6"/>
  <c r="DM26" i="6"/>
  <c r="DL26" i="6"/>
  <c r="DK26" i="6"/>
  <c r="DJ26" i="6"/>
  <c r="DH26" i="6"/>
  <c r="DG26" i="6"/>
  <c r="DE26" i="6"/>
  <c r="DD26" i="6"/>
  <c r="DC26" i="6"/>
  <c r="DB26" i="6"/>
  <c r="CZ26" i="6"/>
  <c r="CY26" i="6"/>
  <c r="CB26" i="6"/>
  <c r="H26" i="6" s="1"/>
  <c r="BZ26" i="6"/>
  <c r="BW26" i="6"/>
  <c r="BV26" i="6"/>
  <c r="BU26" i="6"/>
  <c r="BT26" i="6"/>
  <c r="BS26" i="6"/>
  <c r="BR26" i="6"/>
  <c r="BM26" i="6"/>
  <c r="BL26" i="6"/>
  <c r="BJ26" i="6"/>
  <c r="BH26" i="6"/>
  <c r="BG26" i="6"/>
  <c r="AJ26" i="6"/>
  <c r="M26" i="6"/>
  <c r="I26" i="6" s="1"/>
  <c r="DR25" i="6"/>
  <c r="DP25" i="6"/>
  <c r="DO25" i="6"/>
  <c r="DN25" i="6"/>
  <c r="DL25" i="6"/>
  <c r="DK25" i="6"/>
  <c r="DJ25" i="6"/>
  <c r="DH25" i="6"/>
  <c r="DG25" i="6"/>
  <c r="DE25" i="6"/>
  <c r="DC25" i="6"/>
  <c r="DB25" i="6"/>
  <c r="CZ25" i="6"/>
  <c r="CY25" i="6"/>
  <c r="CQ25" i="6"/>
  <c r="DM25" i="6" s="1"/>
  <c r="CH25" i="6"/>
  <c r="DD25" i="6" s="1"/>
  <c r="BZ25" i="6"/>
  <c r="BW25" i="6"/>
  <c r="BV25" i="6"/>
  <c r="BT25" i="6"/>
  <c r="BS25" i="6"/>
  <c r="BR25" i="6"/>
  <c r="BM25" i="6"/>
  <c r="BJ25" i="6"/>
  <c r="BH25" i="6"/>
  <c r="BG25" i="6"/>
  <c r="AY25" i="6"/>
  <c r="AP25" i="6"/>
  <c r="M25" i="6"/>
  <c r="DR24" i="6"/>
  <c r="DP24" i="6"/>
  <c r="DO24" i="6"/>
  <c r="DN24" i="6"/>
  <c r="DM24" i="6"/>
  <c r="DL24" i="6"/>
  <c r="DK24" i="6"/>
  <c r="DJ24" i="6"/>
  <c r="DH24" i="6"/>
  <c r="DG24" i="6"/>
  <c r="DE24" i="6"/>
  <c r="DC24" i="6"/>
  <c r="DB24" i="6"/>
  <c r="CZ24" i="6"/>
  <c r="CY24" i="6"/>
  <c r="CH24" i="6"/>
  <c r="DD24" i="6" s="1"/>
  <c r="BZ24" i="6"/>
  <c r="BY24" i="6"/>
  <c r="BX24" i="6"/>
  <c r="BW24" i="6"/>
  <c r="BV24" i="6"/>
  <c r="BU24" i="6"/>
  <c r="BT24" i="6"/>
  <c r="BS24" i="6"/>
  <c r="BR24" i="6"/>
  <c r="BQ24" i="6"/>
  <c r="BP24" i="6"/>
  <c r="BO24" i="6"/>
  <c r="BM24" i="6"/>
  <c r="BJ24" i="6"/>
  <c r="BH24" i="6"/>
  <c r="BG24" i="6"/>
  <c r="AP24" i="6"/>
  <c r="BL24" i="6" s="1"/>
  <c r="M24" i="6"/>
  <c r="DR23" i="6"/>
  <c r="DP23" i="6"/>
  <c r="DO23" i="6"/>
  <c r="DM23" i="6"/>
  <c r="DL23" i="6"/>
  <c r="DK23" i="6"/>
  <c r="DJ23" i="6"/>
  <c r="DH23" i="6"/>
  <c r="DG23" i="6"/>
  <c r="DE23" i="6"/>
  <c r="DD23" i="6"/>
  <c r="DC23" i="6"/>
  <c r="DB23" i="6"/>
  <c r="CZ23" i="6"/>
  <c r="CY23" i="6"/>
  <c r="CR23" i="6"/>
  <c r="DN23" i="6" s="1"/>
  <c r="BZ23" i="6"/>
  <c r="BW23" i="6"/>
  <c r="BU23" i="6"/>
  <c r="BT23" i="6"/>
  <c r="BS23" i="6"/>
  <c r="BR23" i="6"/>
  <c r="BM23" i="6"/>
  <c r="BL23" i="6"/>
  <c r="BJ23" i="6"/>
  <c r="BH23" i="6"/>
  <c r="BG23" i="6"/>
  <c r="AZ23" i="6"/>
  <c r="BV23" i="6" s="1"/>
  <c r="AJ23" i="6"/>
  <c r="M23" i="6"/>
  <c r="DP22" i="6"/>
  <c r="DO22" i="6"/>
  <c r="DN22" i="6"/>
  <c r="DM22" i="6"/>
  <c r="DL22" i="6"/>
  <c r="DK22" i="6"/>
  <c r="DJ22" i="6"/>
  <c r="DH22" i="6"/>
  <c r="DG22" i="6"/>
  <c r="DE22" i="6"/>
  <c r="DD22" i="6"/>
  <c r="DC22" i="6"/>
  <c r="DB22" i="6"/>
  <c r="CZ22" i="6"/>
  <c r="CY22" i="6"/>
  <c r="CV22" i="6"/>
  <c r="CB22" i="6" s="1"/>
  <c r="H22" i="6" s="1"/>
  <c r="BW22" i="6"/>
  <c r="BU22" i="6"/>
  <c r="BT22" i="6"/>
  <c r="BS22" i="6"/>
  <c r="BR22" i="6"/>
  <c r="BM22" i="6"/>
  <c r="BL22" i="6"/>
  <c r="BJ22" i="6"/>
  <c r="BH22" i="6"/>
  <c r="BG22" i="6"/>
  <c r="BD22" i="6"/>
  <c r="AJ22" i="6" s="1"/>
  <c r="AZ22" i="6"/>
  <c r="BV22" i="6" s="1"/>
  <c r="AG22" i="6"/>
  <c r="M22" i="6" s="1"/>
  <c r="DR21" i="6"/>
  <c r="DP21" i="6"/>
  <c r="DO21" i="6"/>
  <c r="DN21" i="6"/>
  <c r="DM21" i="6"/>
  <c r="DL21" i="6"/>
  <c r="DK21" i="6"/>
  <c r="DJ21" i="6"/>
  <c r="DH21" i="6"/>
  <c r="DG21" i="6"/>
  <c r="DE21" i="6"/>
  <c r="DD21" i="6"/>
  <c r="DC21" i="6"/>
  <c r="DB21" i="6"/>
  <c r="CY21" i="6"/>
  <c r="CB21" i="6"/>
  <c r="BZ21" i="6"/>
  <c r="BW21" i="6"/>
  <c r="BV21" i="6"/>
  <c r="BU21" i="6"/>
  <c r="BT21" i="6"/>
  <c r="BS21" i="6"/>
  <c r="BR21" i="6"/>
  <c r="BL21" i="6"/>
  <c r="BJ21" i="6"/>
  <c r="BG21" i="6"/>
  <c r="AJ21" i="6"/>
  <c r="T21" i="6"/>
  <c r="BM21" i="6" s="1"/>
  <c r="O21" i="6"/>
  <c r="M21" i="6" s="1"/>
  <c r="DR20" i="6"/>
  <c r="DP20" i="6"/>
  <c r="DO20" i="6"/>
  <c r="DN20" i="6"/>
  <c r="DM20" i="6"/>
  <c r="DL20" i="6"/>
  <c r="DK20" i="6"/>
  <c r="DJ20" i="6"/>
  <c r="DH20" i="6"/>
  <c r="DG20" i="6"/>
  <c r="DD20" i="6"/>
  <c r="DC20" i="6"/>
  <c r="DB20" i="6"/>
  <c r="CZ20" i="6"/>
  <c r="CY20" i="6"/>
  <c r="CB20" i="6"/>
  <c r="BZ20" i="6"/>
  <c r="BW20" i="6"/>
  <c r="BV20" i="6"/>
  <c r="BU20" i="6"/>
  <c r="BT20" i="6"/>
  <c r="BS20" i="6"/>
  <c r="BR20" i="6"/>
  <c r="BL20" i="6"/>
  <c r="BJ20" i="6"/>
  <c r="BH20" i="6"/>
  <c r="BG20" i="6"/>
  <c r="AJ20" i="6"/>
  <c r="T20" i="6"/>
  <c r="BM20" i="6" s="1"/>
  <c r="DR19" i="6"/>
  <c r="DP19" i="6"/>
  <c r="DO19" i="6"/>
  <c r="DN19" i="6"/>
  <c r="DM19" i="6"/>
  <c r="DL19" i="6"/>
  <c r="DK19" i="6"/>
  <c r="DJ19" i="6"/>
  <c r="DH19" i="6"/>
  <c r="DG19" i="6"/>
  <c r="DD19" i="6"/>
  <c r="DC19" i="6"/>
  <c r="DB19" i="6"/>
  <c r="CY19" i="6"/>
  <c r="CI19" i="6"/>
  <c r="CB19" i="6" s="1"/>
  <c r="H19" i="6" s="1"/>
  <c r="BZ19" i="6"/>
  <c r="BW19" i="6"/>
  <c r="BV19" i="6"/>
  <c r="BU19" i="6"/>
  <c r="BT19" i="6"/>
  <c r="BS19" i="6"/>
  <c r="BR19" i="6"/>
  <c r="BL19" i="6"/>
  <c r="BJ19" i="6"/>
  <c r="BG19" i="6"/>
  <c r="AQ19" i="6"/>
  <c r="T19" i="6"/>
  <c r="O19" i="6"/>
  <c r="DR18" i="6"/>
  <c r="DP18" i="6"/>
  <c r="DO18" i="6"/>
  <c r="DN18" i="6"/>
  <c r="DM18" i="6"/>
  <c r="DL18" i="6"/>
  <c r="DK18" i="6"/>
  <c r="DJ18" i="6"/>
  <c r="DH18" i="6"/>
  <c r="DG18" i="6"/>
  <c r="DC18" i="6"/>
  <c r="DB18" i="6"/>
  <c r="CZ18" i="6"/>
  <c r="CY18" i="6"/>
  <c r="CH18" i="6"/>
  <c r="DD18" i="6" s="1"/>
  <c r="BZ18" i="6"/>
  <c r="BW18" i="6"/>
  <c r="BV18" i="6"/>
  <c r="BU18" i="6"/>
  <c r="BT18" i="6"/>
  <c r="BS18" i="6"/>
  <c r="BR18" i="6"/>
  <c r="BQ18" i="6"/>
  <c r="BQ193" i="6" s="1"/>
  <c r="BP18" i="6"/>
  <c r="BO18" i="6"/>
  <c r="BJ18" i="6"/>
  <c r="BH18" i="6"/>
  <c r="BG18" i="6"/>
  <c r="AQ18" i="6"/>
  <c r="AP18" i="6"/>
  <c r="BL18" i="6" s="1"/>
  <c r="T18" i="6"/>
  <c r="M18" i="6" s="1"/>
  <c r="DP17" i="6"/>
  <c r="DO17" i="6"/>
  <c r="DN17" i="6"/>
  <c r="DM17" i="6"/>
  <c r="DL17" i="6"/>
  <c r="DK17" i="6"/>
  <c r="DJ17" i="6"/>
  <c r="DH17" i="6"/>
  <c r="DG17" i="6"/>
  <c r="DE17" i="6"/>
  <c r="DC17" i="6"/>
  <c r="DB17" i="6"/>
  <c r="CZ17" i="6"/>
  <c r="CY17" i="6"/>
  <c r="CV17" i="6"/>
  <c r="BW17" i="6"/>
  <c r="BV17" i="6"/>
  <c r="BU17" i="6"/>
  <c r="BT17" i="6"/>
  <c r="BS17" i="6"/>
  <c r="BR17" i="6"/>
  <c r="BM17" i="6"/>
  <c r="BJ17" i="6"/>
  <c r="BH17" i="6"/>
  <c r="BG17" i="6"/>
  <c r="BD17" i="6"/>
  <c r="BD193" i="6" s="1"/>
  <c r="AP17" i="6"/>
  <c r="AG17" i="6"/>
  <c r="DR16" i="6"/>
  <c r="DP16" i="6"/>
  <c r="DO16" i="6"/>
  <c r="DN16" i="6"/>
  <c r="DM16" i="6"/>
  <c r="DL16" i="6"/>
  <c r="DK16" i="6"/>
  <c r="DJ16" i="6"/>
  <c r="DH16" i="6"/>
  <c r="DG16" i="6"/>
  <c r="DE16" i="6"/>
  <c r="DD16" i="6"/>
  <c r="DC16" i="6"/>
  <c r="DB16" i="6"/>
  <c r="CZ16" i="6"/>
  <c r="CY16" i="6"/>
  <c r="CB16" i="6"/>
  <c r="H16" i="6" s="1"/>
  <c r="BZ16" i="6"/>
  <c r="BW16" i="6"/>
  <c r="BV16" i="6"/>
  <c r="BT16" i="6"/>
  <c r="BS16" i="6"/>
  <c r="BR16" i="6"/>
  <c r="BM16" i="6"/>
  <c r="BL16" i="6"/>
  <c r="BJ16" i="6"/>
  <c r="BH16" i="6"/>
  <c r="BG16" i="6"/>
  <c r="AJ16" i="6"/>
  <c r="AB16" i="6"/>
  <c r="DR15" i="6"/>
  <c r="DP15" i="6"/>
  <c r="DO15" i="6"/>
  <c r="DN15" i="6"/>
  <c r="DM15" i="6"/>
  <c r="DL15" i="6"/>
  <c r="DK15" i="6"/>
  <c r="DJ15" i="6"/>
  <c r="DH15" i="6"/>
  <c r="DG15" i="6"/>
  <c r="DE15" i="6"/>
  <c r="DD15" i="6"/>
  <c r="DC15" i="6"/>
  <c r="DB15" i="6"/>
  <c r="CZ15" i="6"/>
  <c r="CY15" i="6"/>
  <c r="CB15" i="6"/>
  <c r="BZ15" i="6"/>
  <c r="BW15" i="6"/>
  <c r="BV15" i="6"/>
  <c r="BU15" i="6"/>
  <c r="BT15" i="6"/>
  <c r="BS15" i="6"/>
  <c r="BR15" i="6"/>
  <c r="BM15" i="6"/>
  <c r="BL15" i="6"/>
  <c r="BJ15" i="6"/>
  <c r="BH15" i="6"/>
  <c r="BG15" i="6"/>
  <c r="AJ15" i="6"/>
  <c r="M15" i="6"/>
  <c r="DR14" i="6"/>
  <c r="DP14" i="6"/>
  <c r="DO14" i="6"/>
  <c r="DN14" i="6"/>
  <c r="DM14" i="6"/>
  <c r="DL14" i="6"/>
  <c r="DK14" i="6"/>
  <c r="DJ14" i="6"/>
  <c r="DH14" i="6"/>
  <c r="DG14" i="6"/>
  <c r="DE14" i="6"/>
  <c r="DD14" i="6"/>
  <c r="DC14" i="6"/>
  <c r="DB14" i="6"/>
  <c r="CZ14" i="6"/>
  <c r="CY14" i="6"/>
  <c r="CB14" i="6"/>
  <c r="H14" i="6" s="1"/>
  <c r="BZ14" i="6"/>
  <c r="BW14" i="6"/>
  <c r="BV14" i="6"/>
  <c r="BU14" i="6"/>
  <c r="BT14" i="6"/>
  <c r="BS14" i="6"/>
  <c r="BR14" i="6"/>
  <c r="BM14" i="6"/>
  <c r="BL14" i="6"/>
  <c r="BJ14" i="6"/>
  <c r="BH14" i="6"/>
  <c r="BG14" i="6"/>
  <c r="AJ14" i="6"/>
  <c r="M14" i="6"/>
  <c r="I14" i="6" s="1"/>
  <c r="DR13" i="6"/>
  <c r="DP13" i="6"/>
  <c r="DO13" i="6"/>
  <c r="DN13" i="6"/>
  <c r="DM13" i="6"/>
  <c r="DL13" i="6"/>
  <c r="DK13" i="6"/>
  <c r="DJ13" i="6"/>
  <c r="DH13" i="6"/>
  <c r="DG13" i="6"/>
  <c r="DE13" i="6"/>
  <c r="DC13" i="6"/>
  <c r="DB13" i="6"/>
  <c r="CZ13" i="6"/>
  <c r="CY13" i="6"/>
  <c r="CH13" i="6"/>
  <c r="CB13" i="6" s="1"/>
  <c r="H13" i="6" s="1"/>
  <c r="BZ13" i="6"/>
  <c r="BW13" i="6"/>
  <c r="BV13" i="6"/>
  <c r="BU13" i="6"/>
  <c r="BT13" i="6"/>
  <c r="BS13" i="6"/>
  <c r="BR13" i="6"/>
  <c r="BM13" i="6"/>
  <c r="BJ13" i="6"/>
  <c r="BH13" i="6"/>
  <c r="BG13" i="6"/>
  <c r="AP13" i="6"/>
  <c r="BL13" i="6" s="1"/>
  <c r="M13" i="6"/>
  <c r="DR12" i="6"/>
  <c r="DP12" i="6"/>
  <c r="DO12" i="6"/>
  <c r="DN12" i="6"/>
  <c r="DM12" i="6"/>
  <c r="DL12" i="6"/>
  <c r="DK12" i="6"/>
  <c r="DJ12" i="6"/>
  <c r="DH12" i="6"/>
  <c r="DG12" i="6"/>
  <c r="DE12" i="6"/>
  <c r="DC12" i="6"/>
  <c r="DB12" i="6"/>
  <c r="CZ12" i="6"/>
  <c r="CY12" i="6"/>
  <c r="CH12" i="6"/>
  <c r="DD12" i="6" s="1"/>
  <c r="BZ12" i="6"/>
  <c r="BW12" i="6"/>
  <c r="BV12" i="6"/>
  <c r="BU12" i="6"/>
  <c r="BT12" i="6"/>
  <c r="BS12" i="6"/>
  <c r="BR12" i="6"/>
  <c r="BM12" i="6"/>
  <c r="BJ12" i="6"/>
  <c r="BH12" i="6"/>
  <c r="BG12" i="6"/>
  <c r="AP12" i="6"/>
  <c r="M12" i="6"/>
  <c r="DR11" i="6"/>
  <c r="DP11" i="6"/>
  <c r="DO11" i="6"/>
  <c r="DN11" i="6"/>
  <c r="DM11" i="6"/>
  <c r="DL11" i="6"/>
  <c r="DK11" i="6"/>
  <c r="DJ11" i="6"/>
  <c r="DH11" i="6"/>
  <c r="DG11" i="6"/>
  <c r="DE11" i="6"/>
  <c r="DC11" i="6"/>
  <c r="DB11" i="6"/>
  <c r="CZ11" i="6"/>
  <c r="CY11" i="6"/>
  <c r="CH11" i="6"/>
  <c r="CB11" i="6" s="1"/>
  <c r="H11" i="6" s="1"/>
  <c r="BZ11" i="6"/>
  <c r="BW11" i="6"/>
  <c r="BV11" i="6"/>
  <c r="BU11" i="6"/>
  <c r="BT11" i="6"/>
  <c r="BS11" i="6"/>
  <c r="BR11" i="6"/>
  <c r="BM11" i="6"/>
  <c r="BJ11" i="6"/>
  <c r="BH11" i="6"/>
  <c r="BG11" i="6"/>
  <c r="AP11" i="6"/>
  <c r="AJ11" i="6" s="1"/>
  <c r="AI11" i="6" s="1"/>
  <c r="BE11" i="6" s="1"/>
  <c r="S11" i="6"/>
  <c r="M11" i="6"/>
  <c r="DP10" i="6"/>
  <c r="DO10" i="6"/>
  <c r="DN10" i="6"/>
  <c r="DM10" i="6"/>
  <c r="DL10" i="6"/>
  <c r="DK10" i="6"/>
  <c r="DJ10" i="6"/>
  <c r="DH10" i="6"/>
  <c r="DG10" i="6"/>
  <c r="DE10" i="6"/>
  <c r="DD10" i="6"/>
  <c r="DC10" i="6"/>
  <c r="DB10" i="6"/>
  <c r="CZ10" i="6"/>
  <c r="CY10" i="6"/>
  <c r="CV10" i="6"/>
  <c r="BW10" i="6"/>
  <c r="BV10" i="6"/>
  <c r="BU10" i="6"/>
  <c r="BT10" i="6"/>
  <c r="BS10" i="6"/>
  <c r="BR10" i="6"/>
  <c r="BQ10" i="6"/>
  <c r="BP10" i="6"/>
  <c r="BO10" i="6"/>
  <c r="BM10" i="6"/>
  <c r="BL10" i="6"/>
  <c r="BJ10" i="6"/>
  <c r="BH10" i="6"/>
  <c r="BG10" i="6"/>
  <c r="BD10" i="6"/>
  <c r="BZ10" i="6" s="1"/>
  <c r="AG10" i="6"/>
  <c r="M10" i="6"/>
  <c r="DR9" i="6"/>
  <c r="DP9" i="6"/>
  <c r="DO9" i="6"/>
  <c r="DN9" i="6"/>
  <c r="DM9" i="6"/>
  <c r="DK9" i="6"/>
  <c r="DJ9" i="6"/>
  <c r="DH9" i="6"/>
  <c r="DG9" i="6"/>
  <c r="DE9" i="6"/>
  <c r="DD9" i="6"/>
  <c r="DC9" i="6"/>
  <c r="DB9" i="6"/>
  <c r="CZ9" i="6"/>
  <c r="CY9" i="6"/>
  <c r="CP9" i="6"/>
  <c r="DL9" i="6" s="1"/>
  <c r="BZ9" i="6"/>
  <c r="BW9" i="6"/>
  <c r="BV9" i="6"/>
  <c r="BU9" i="6"/>
  <c r="BS9" i="6"/>
  <c r="BR9" i="6"/>
  <c r="BM9" i="6"/>
  <c r="BL9" i="6"/>
  <c r="BJ9" i="6"/>
  <c r="BH9" i="6"/>
  <c r="BG9" i="6"/>
  <c r="AX9" i="6"/>
  <c r="M9" i="6"/>
  <c r="DR8" i="6"/>
  <c r="DP8" i="6"/>
  <c r="DO8" i="6"/>
  <c r="DN8" i="6"/>
  <c r="DM8" i="6"/>
  <c r="DL8" i="6"/>
  <c r="DK8" i="6"/>
  <c r="DJ8" i="6"/>
  <c r="DH8" i="6"/>
  <c r="DG8" i="6"/>
  <c r="DE8" i="6"/>
  <c r="DD8" i="6"/>
  <c r="DC8" i="6"/>
  <c r="DB8" i="6"/>
  <c r="CZ8" i="6"/>
  <c r="CY8" i="6"/>
  <c r="CB8" i="6"/>
  <c r="BZ8" i="6"/>
  <c r="BW8" i="6"/>
  <c r="BV8" i="6"/>
  <c r="BU8" i="6"/>
  <c r="BT8" i="6"/>
  <c r="BS8" i="6"/>
  <c r="BR8" i="6"/>
  <c r="BM8" i="6"/>
  <c r="BL8" i="6"/>
  <c r="BJ8" i="6"/>
  <c r="BH8" i="6"/>
  <c r="BG8" i="6"/>
  <c r="AJ8" i="6"/>
  <c r="M8" i="6"/>
  <c r="DR7" i="6"/>
  <c r="DP7" i="6"/>
  <c r="DO7" i="6"/>
  <c r="DN7" i="6"/>
  <c r="DM7" i="6"/>
  <c r="DK7" i="6"/>
  <c r="DJ7" i="6"/>
  <c r="DH7" i="6"/>
  <c r="DG7" i="6"/>
  <c r="DE7" i="6"/>
  <c r="DD7" i="6"/>
  <c r="DC7" i="6"/>
  <c r="DB7" i="6"/>
  <c r="CZ7" i="6"/>
  <c r="CY7" i="6"/>
  <c r="CP7" i="6"/>
  <c r="DL7" i="6" s="1"/>
  <c r="BZ7" i="6"/>
  <c r="BW7" i="6"/>
  <c r="BV7" i="6"/>
  <c r="BU7" i="6"/>
  <c r="BS7" i="6"/>
  <c r="BR7" i="6"/>
  <c r="BM7" i="6"/>
  <c r="BL7" i="6"/>
  <c r="BJ7" i="6"/>
  <c r="BH7" i="6"/>
  <c r="BG7" i="6"/>
  <c r="AX7" i="6"/>
  <c r="BT7" i="6" s="1"/>
  <c r="M7" i="6"/>
  <c r="DR6" i="6"/>
  <c r="DP6" i="6"/>
  <c r="DO6" i="6"/>
  <c r="DN6" i="6"/>
  <c r="DM6" i="6"/>
  <c r="DL6" i="6"/>
  <c r="DK6" i="6"/>
  <c r="DJ6" i="6"/>
  <c r="DH6" i="6"/>
  <c r="DG6" i="6"/>
  <c r="DE6" i="6"/>
  <c r="DD6" i="6"/>
  <c r="DC6" i="6"/>
  <c r="DB6" i="6"/>
  <c r="CZ6" i="6"/>
  <c r="CY6" i="6"/>
  <c r="CB6" i="6"/>
  <c r="H6" i="6" s="1"/>
  <c r="BZ6" i="6"/>
  <c r="BW6" i="6"/>
  <c r="BV6" i="6"/>
  <c r="BU6" i="6"/>
  <c r="BT6" i="6"/>
  <c r="BS6" i="6"/>
  <c r="BR6" i="6"/>
  <c r="BM6" i="6"/>
  <c r="BL6" i="6"/>
  <c r="BJ6" i="6"/>
  <c r="BH6" i="6"/>
  <c r="BG6" i="6"/>
  <c r="AJ6" i="6"/>
  <c r="M6" i="6"/>
  <c r="DR5" i="6"/>
  <c r="DP5" i="6"/>
  <c r="DO5" i="6"/>
  <c r="DN5" i="6"/>
  <c r="DM5" i="6"/>
  <c r="DL5" i="6"/>
  <c r="DK5" i="6"/>
  <c r="DJ5" i="6"/>
  <c r="DH5" i="6"/>
  <c r="DG5" i="6"/>
  <c r="DE5" i="6"/>
  <c r="DD5" i="6"/>
  <c r="DC5" i="6"/>
  <c r="DB5" i="6"/>
  <c r="CZ5" i="6"/>
  <c r="CY5" i="6"/>
  <c r="CB5" i="6"/>
  <c r="H5" i="6" s="1"/>
  <c r="BZ5" i="6"/>
  <c r="BW5" i="6"/>
  <c r="BV5" i="6"/>
  <c r="BU5" i="6"/>
  <c r="BT5" i="6"/>
  <c r="BS5" i="6"/>
  <c r="BR5" i="6"/>
  <c r="BM5" i="6"/>
  <c r="BL5" i="6"/>
  <c r="BJ5" i="6"/>
  <c r="BH5" i="6"/>
  <c r="BG5" i="6"/>
  <c r="AJ5" i="6"/>
  <c r="M5" i="6"/>
  <c r="DR4" i="6"/>
  <c r="DP4" i="6"/>
  <c r="DO4" i="6"/>
  <c r="DN4" i="6"/>
  <c r="DM4" i="6"/>
  <c r="DK4" i="6"/>
  <c r="DJ4" i="6"/>
  <c r="DH4" i="6"/>
  <c r="DG4" i="6"/>
  <c r="DE4" i="6"/>
  <c r="DD4" i="6"/>
  <c r="DC4" i="6"/>
  <c r="DB4" i="6"/>
  <c r="CZ4" i="6"/>
  <c r="CY4" i="6"/>
  <c r="CP4" i="6"/>
  <c r="CB4" i="6" s="1"/>
  <c r="BZ4" i="6"/>
  <c r="BX4" i="6"/>
  <c r="BW4" i="6"/>
  <c r="BV4" i="6"/>
  <c r="BU4" i="6"/>
  <c r="BS4" i="6"/>
  <c r="BR4" i="6"/>
  <c r="BQ4" i="6"/>
  <c r="BP4" i="6"/>
  <c r="BO4" i="6"/>
  <c r="BM4" i="6"/>
  <c r="BL4" i="6"/>
  <c r="BJ4" i="6"/>
  <c r="BH4" i="6"/>
  <c r="BG4" i="6"/>
  <c r="AX4" i="6"/>
  <c r="AJ4" i="6" s="1"/>
  <c r="M4" i="6"/>
  <c r="BV3" i="6"/>
  <c r="CR3" i="6" s="1"/>
  <c r="DD48" i="6" l="1"/>
  <c r="CB93" i="6"/>
  <c r="CA93" i="6" s="1"/>
  <c r="CW93" i="6" s="1"/>
  <c r="CB107" i="6"/>
  <c r="H107" i="6" s="1"/>
  <c r="CB160" i="6"/>
  <c r="CO103" i="6"/>
  <c r="DE19" i="6"/>
  <c r="AY195" i="6"/>
  <c r="CB25" i="6"/>
  <c r="H25" i="6" s="1"/>
  <c r="I25" i="6" s="1"/>
  <c r="CB118" i="6"/>
  <c r="AJ24" i="6"/>
  <c r="BZ68" i="6"/>
  <c r="AZ121" i="6"/>
  <c r="CA85" i="6"/>
  <c r="CW85" i="6" s="1"/>
  <c r="BZ85" i="6"/>
  <c r="AI159" i="6"/>
  <c r="BE159" i="6" s="1"/>
  <c r="CQ32" i="6"/>
  <c r="CQ34" i="6" s="1"/>
  <c r="CB24" i="6"/>
  <c r="H24" i="6" s="1"/>
  <c r="I24" i="6" s="1"/>
  <c r="AJ45" i="6"/>
  <c r="DR85" i="6"/>
  <c r="CX85" i="6" s="1"/>
  <c r="BZ114" i="6"/>
  <c r="AJ115" i="6"/>
  <c r="CB115" i="6"/>
  <c r="CB111" i="6"/>
  <c r="H111" i="6" s="1"/>
  <c r="I111" i="6" s="1"/>
  <c r="DR160" i="6"/>
  <c r="BL162" i="6"/>
  <c r="BF162" i="6" s="1"/>
  <c r="AJ13" i="6"/>
  <c r="AI13" i="6" s="1"/>
  <c r="BE13" i="6" s="1"/>
  <c r="CB83" i="6"/>
  <c r="H83" i="6" s="1"/>
  <c r="BV170" i="6"/>
  <c r="AJ7" i="6"/>
  <c r="AI7" i="6" s="1"/>
  <c r="BE7" i="6" s="1"/>
  <c r="CB40" i="6"/>
  <c r="H40" i="6" s="1"/>
  <c r="I40" i="6" s="1"/>
  <c r="CB87" i="6"/>
  <c r="H87" i="6" s="1"/>
  <c r="DD98" i="6"/>
  <c r="CV198" i="6"/>
  <c r="DD69" i="6"/>
  <c r="CX69" i="6" s="1"/>
  <c r="CB9" i="6"/>
  <c r="CA9" i="6" s="1"/>
  <c r="CW9" i="6" s="1"/>
  <c r="BL175" i="6"/>
  <c r="BF175" i="6" s="1"/>
  <c r="BD121" i="6"/>
  <c r="DR115" i="6"/>
  <c r="CB180" i="6"/>
  <c r="H180" i="6" s="1"/>
  <c r="I180" i="6" s="1"/>
  <c r="M19" i="6"/>
  <c r="DL48" i="6"/>
  <c r="DR66" i="6"/>
  <c r="CX66" i="6" s="1"/>
  <c r="AI77" i="6"/>
  <c r="BE77" i="6" s="1"/>
  <c r="AJ100" i="6"/>
  <c r="BG111" i="6"/>
  <c r="BG198" i="6" s="1"/>
  <c r="AI129" i="6"/>
  <c r="BE129" i="6" s="1"/>
  <c r="AI132" i="6"/>
  <c r="BE132" i="6" s="1"/>
  <c r="BJ149" i="6"/>
  <c r="BT4" i="6"/>
  <c r="BF4" i="6" s="1"/>
  <c r="CV193" i="6"/>
  <c r="AJ18" i="6"/>
  <c r="AI18" i="6" s="1"/>
  <c r="BE18" i="6" s="1"/>
  <c r="DE20" i="6"/>
  <c r="CZ36" i="6"/>
  <c r="CB45" i="6"/>
  <c r="H45" i="6" s="1"/>
  <c r="DN48" i="6"/>
  <c r="AJ55" i="6"/>
  <c r="CB60" i="6"/>
  <c r="H60" i="6" s="1"/>
  <c r="DN64" i="6"/>
  <c r="DR68" i="6"/>
  <c r="CX68" i="6" s="1"/>
  <c r="BL69" i="6"/>
  <c r="CB76" i="6"/>
  <c r="CA76" i="6" s="1"/>
  <c r="CW76" i="6" s="1"/>
  <c r="M99" i="6"/>
  <c r="CA99" i="6" s="1"/>
  <c r="CW99" i="6" s="1"/>
  <c r="CB100" i="6"/>
  <c r="H100" i="6" s="1"/>
  <c r="I100" i="6" s="1"/>
  <c r="AJ101" i="6"/>
  <c r="M138" i="6"/>
  <c r="AI138" i="6" s="1"/>
  <c r="BE138" i="6" s="1"/>
  <c r="I148" i="6"/>
  <c r="BJ150" i="6"/>
  <c r="BF150" i="6" s="1"/>
  <c r="BZ156" i="6"/>
  <c r="DE158" i="6"/>
  <c r="DD175" i="6"/>
  <c r="CX175" i="6" s="1"/>
  <c r="CX177" i="6"/>
  <c r="BF24" i="6"/>
  <c r="BM19" i="6"/>
  <c r="I27" i="6"/>
  <c r="DD60" i="6"/>
  <c r="AW67" i="6"/>
  <c r="DD99" i="6"/>
  <c r="BJ128" i="6"/>
  <c r="CA132" i="6"/>
  <c r="CW132" i="6" s="1"/>
  <c r="M154" i="6"/>
  <c r="AI154" i="6" s="1"/>
  <c r="BE154" i="6" s="1"/>
  <c r="CB7" i="6"/>
  <c r="CA7" i="6" s="1"/>
  <c r="CW7" i="6" s="1"/>
  <c r="CX8" i="6"/>
  <c r="H9" i="6"/>
  <c r="I9" i="6" s="1"/>
  <c r="DD13" i="6"/>
  <c r="CX13" i="6" s="1"/>
  <c r="DR17" i="6"/>
  <c r="DR193" i="6" s="1"/>
  <c r="BJ35" i="6"/>
  <c r="DL120" i="6"/>
  <c r="CX120" i="6" s="1"/>
  <c r="AK121" i="6"/>
  <c r="AK189" i="6" s="1"/>
  <c r="DB147" i="6"/>
  <c r="CX147" i="6" s="1"/>
  <c r="DE159" i="6"/>
  <c r="BF186" i="6"/>
  <c r="AI8" i="6"/>
  <c r="BE8" i="6" s="1"/>
  <c r="M20" i="6"/>
  <c r="AI20" i="6" s="1"/>
  <c r="BE20" i="6" s="1"/>
  <c r="CZ48" i="6"/>
  <c r="M49" i="6"/>
  <c r="AJ65" i="6"/>
  <c r="AI65" i="6" s="1"/>
  <c r="BE65" i="6" s="1"/>
  <c r="AJ70" i="6"/>
  <c r="BL95" i="6"/>
  <c r="BV117" i="6"/>
  <c r="BV198" i="6" s="1"/>
  <c r="CA129" i="6"/>
  <c r="CW129" i="6" s="1"/>
  <c r="M143" i="6"/>
  <c r="AI143" i="6" s="1"/>
  <c r="BE143" i="6" s="1"/>
  <c r="AJ162" i="6"/>
  <c r="AI162" i="6" s="1"/>
  <c r="BE162" i="6" s="1"/>
  <c r="DD170" i="6"/>
  <c r="CA174" i="6"/>
  <c r="CW174" i="6" s="1"/>
  <c r="CA179" i="6"/>
  <c r="CW179" i="6" s="1"/>
  <c r="CR187" i="6"/>
  <c r="DM112" i="6"/>
  <c r="CX112" i="6" s="1"/>
  <c r="DB128" i="6"/>
  <c r="CQ196" i="6"/>
  <c r="AI82" i="6"/>
  <c r="BE82" i="6" s="1"/>
  <c r="DD123" i="6"/>
  <c r="BJ134" i="6"/>
  <c r="BJ159" i="6"/>
  <c r="BF159" i="6" s="1"/>
  <c r="I5" i="6"/>
  <c r="AJ25" i="6"/>
  <c r="AI25" i="6" s="1"/>
  <c r="BE25" i="6" s="1"/>
  <c r="AJ31" i="6"/>
  <c r="AJ39" i="6"/>
  <c r="BM45" i="6"/>
  <c r="BX67" i="6"/>
  <c r="M66" i="6"/>
  <c r="AI66" i="6" s="1"/>
  <c r="BE66" i="6" s="1"/>
  <c r="M101" i="6"/>
  <c r="AJ108" i="6"/>
  <c r="AI108" i="6" s="1"/>
  <c r="BE108" i="6" s="1"/>
  <c r="BP121" i="6"/>
  <c r="CB108" i="6"/>
  <c r="H108" i="6" s="1"/>
  <c r="I108" i="6" s="1"/>
  <c r="CA109" i="6"/>
  <c r="CW109" i="6" s="1"/>
  <c r="AI112" i="6"/>
  <c r="BE112" i="6" s="1"/>
  <c r="BT116" i="6"/>
  <c r="AI120" i="6"/>
  <c r="BE120" i="6" s="1"/>
  <c r="BJ127" i="6"/>
  <c r="M134" i="6"/>
  <c r="AI134" i="6" s="1"/>
  <c r="BE134" i="6" s="1"/>
  <c r="DB141" i="6"/>
  <c r="CX141" i="6" s="1"/>
  <c r="M148" i="6"/>
  <c r="DB158" i="6"/>
  <c r="M176" i="6"/>
  <c r="I176" i="6" s="1"/>
  <c r="I179" i="6"/>
  <c r="AI185" i="6"/>
  <c r="BE185" i="6" s="1"/>
  <c r="CB185" i="6"/>
  <c r="H185" i="6" s="1"/>
  <c r="I185" i="6" s="1"/>
  <c r="AI137" i="6"/>
  <c r="BE137" i="6" s="1"/>
  <c r="CA137" i="6"/>
  <c r="CW137" i="6" s="1"/>
  <c r="DK55" i="6"/>
  <c r="CX55" i="6" s="1"/>
  <c r="BS55" i="6"/>
  <c r="BS67" i="6" s="1"/>
  <c r="BZ80" i="6"/>
  <c r="BF80" i="6" s="1"/>
  <c r="CA86" i="6"/>
  <c r="CW86" i="6" s="1"/>
  <c r="I86" i="6"/>
  <c r="CZ95" i="6"/>
  <c r="BH95" i="6"/>
  <c r="BF95" i="6" s="1"/>
  <c r="AC193" i="6"/>
  <c r="AC187" i="6"/>
  <c r="M184" i="6"/>
  <c r="CA184" i="6" s="1"/>
  <c r="CW184" i="6" s="1"/>
  <c r="CA15" i="6"/>
  <c r="CW15" i="6" s="1"/>
  <c r="H15" i="6"/>
  <c r="AP193" i="6"/>
  <c r="AJ17" i="6"/>
  <c r="DL47" i="6"/>
  <c r="CX47" i="6" s="1"/>
  <c r="M48" i="6"/>
  <c r="CB50" i="6"/>
  <c r="H50" i="6" s="1"/>
  <c r="I50" i="6" s="1"/>
  <c r="S67" i="6"/>
  <c r="M100" i="6"/>
  <c r="BW106" i="6"/>
  <c r="AJ106" i="6"/>
  <c r="AI106" i="6" s="1"/>
  <c r="BE106" i="6" s="1"/>
  <c r="CC121" i="6"/>
  <c r="CC189" i="6" s="1"/>
  <c r="CB117" i="6"/>
  <c r="H117" i="6" s="1"/>
  <c r="I117" i="6" s="1"/>
  <c r="BF137" i="6"/>
  <c r="AV192" i="6"/>
  <c r="AV197" i="6" s="1"/>
  <c r="AV199" i="6" s="1"/>
  <c r="AV187" i="6"/>
  <c r="AV189" i="6" s="1"/>
  <c r="BR145" i="6"/>
  <c r="BR192" i="6" s="1"/>
  <c r="BZ164" i="6"/>
  <c r="BF164" i="6" s="1"/>
  <c r="AI4" i="6"/>
  <c r="BE4" i="6" s="1"/>
  <c r="CA8" i="6"/>
  <c r="CW8" i="6" s="1"/>
  <c r="CB12" i="6"/>
  <c r="AJ19" i="6"/>
  <c r="AI19" i="6" s="1"/>
  <c r="BE19" i="6" s="1"/>
  <c r="I22" i="6"/>
  <c r="AI23" i="6"/>
  <c r="CA27" i="6"/>
  <c r="CW27" i="6" s="1"/>
  <c r="DM50" i="6"/>
  <c r="CX50" i="6" s="1"/>
  <c r="BU50" i="6"/>
  <c r="BF50" i="6" s="1"/>
  <c r="CP67" i="6"/>
  <c r="M92" i="6"/>
  <c r="AI92" i="6" s="1"/>
  <c r="BE92" i="6" s="1"/>
  <c r="BM92" i="6"/>
  <c r="BF92" i="6" s="1"/>
  <c r="DE92" i="6"/>
  <c r="I137" i="6"/>
  <c r="DB140" i="6"/>
  <c r="CX140" i="6" s="1"/>
  <c r="M140" i="6"/>
  <c r="CA140" i="6" s="1"/>
  <c r="CW140" i="6" s="1"/>
  <c r="AJ160" i="6"/>
  <c r="M168" i="6"/>
  <c r="I168" i="6" s="1"/>
  <c r="BJ168" i="6"/>
  <c r="BF168" i="6" s="1"/>
  <c r="AJ177" i="6"/>
  <c r="AI177" i="6" s="1"/>
  <c r="BE177" i="6" s="1"/>
  <c r="BV37" i="6"/>
  <c r="AZ67" i="6"/>
  <c r="BF135" i="6"/>
  <c r="CA4" i="6"/>
  <c r="CW4" i="6" s="1"/>
  <c r="H4" i="6"/>
  <c r="I4" i="6" s="1"/>
  <c r="CA24" i="6"/>
  <c r="CW24" i="6" s="1"/>
  <c r="CB33" i="6"/>
  <c r="DL33" i="6"/>
  <c r="BU39" i="6"/>
  <c r="M39" i="6"/>
  <c r="BZ72" i="6"/>
  <c r="BF72" i="6" s="1"/>
  <c r="M72" i="6"/>
  <c r="I72" i="6" s="1"/>
  <c r="BM84" i="6"/>
  <c r="DE84" i="6"/>
  <c r="CZ105" i="6"/>
  <c r="CZ198" i="6" s="1"/>
  <c r="BH105" i="6"/>
  <c r="AI111" i="6"/>
  <c r="BE111" i="6" s="1"/>
  <c r="DG192" i="6"/>
  <c r="CP34" i="6"/>
  <c r="DL4" i="6"/>
  <c r="CX4" i="6" s="1"/>
  <c r="CX7" i="6"/>
  <c r="BT9" i="6"/>
  <c r="BF9" i="6" s="1"/>
  <c r="AJ9" i="6"/>
  <c r="AI9" i="6" s="1"/>
  <c r="BE9" i="6" s="1"/>
  <c r="AJ10" i="6"/>
  <c r="AI10" i="6" s="1"/>
  <c r="BE10" i="6" s="1"/>
  <c r="AI28" i="6"/>
  <c r="BE28" i="6" s="1"/>
  <c r="BH37" i="6"/>
  <c r="BF37" i="6" s="1"/>
  <c r="M37" i="6"/>
  <c r="CB37" i="6"/>
  <c r="CZ44" i="6"/>
  <c r="AJ48" i="6"/>
  <c r="AI48" i="6" s="1"/>
  <c r="BE48" i="6" s="1"/>
  <c r="CB65" i="6"/>
  <c r="BM83" i="6"/>
  <c r="AJ83" i="6"/>
  <c r="AI101" i="6"/>
  <c r="BE101" i="6" s="1"/>
  <c r="BJ144" i="6"/>
  <c r="M144" i="6"/>
  <c r="CA144" i="6" s="1"/>
  <c r="CW144" i="6" s="1"/>
  <c r="DB168" i="6"/>
  <c r="CX168" i="6" s="1"/>
  <c r="BK193" i="6"/>
  <c r="DN184" i="6"/>
  <c r="CX184" i="6" s="1"/>
  <c r="DR114" i="6"/>
  <c r="M114" i="6"/>
  <c r="CA114" i="6" s="1"/>
  <c r="CW114" i="6" s="1"/>
  <c r="I141" i="6"/>
  <c r="AI141" i="6"/>
  <c r="BE141" i="6" s="1"/>
  <c r="H143" i="6"/>
  <c r="I143" i="6" s="1"/>
  <c r="CX5" i="6"/>
  <c r="DR72" i="6"/>
  <c r="CX72" i="6" s="1"/>
  <c r="CX77" i="6"/>
  <c r="CI103" i="6"/>
  <c r="CA110" i="6"/>
  <c r="CW110" i="6" s="1"/>
  <c r="DB143" i="6"/>
  <c r="CX143" i="6" s="1"/>
  <c r="DP192" i="6"/>
  <c r="BJ154" i="6"/>
  <c r="P197" i="6"/>
  <c r="P199" i="6" s="1"/>
  <c r="BD34" i="6"/>
  <c r="CV34" i="6"/>
  <c r="BL12" i="6"/>
  <c r="BF12" i="6" s="1"/>
  <c r="AJ12" i="6"/>
  <c r="AI12" i="6" s="1"/>
  <c r="BE12" i="6" s="1"/>
  <c r="BF14" i="6"/>
  <c r="BL17" i="6"/>
  <c r="BL193" i="6" s="1"/>
  <c r="CH17" i="6"/>
  <c r="DD17" i="6" s="1"/>
  <c r="DD193" i="6" s="1"/>
  <c r="AJ32" i="6"/>
  <c r="AI32" i="6" s="1"/>
  <c r="BE32" i="6" s="1"/>
  <c r="CB42" i="6"/>
  <c r="H42" i="6" s="1"/>
  <c r="I42" i="6" s="1"/>
  <c r="DE45" i="6"/>
  <c r="AJ57" i="6"/>
  <c r="DO103" i="6"/>
  <c r="DK87" i="6"/>
  <c r="CX87" i="6" s="1"/>
  <c r="Z103" i="6"/>
  <c r="DD97" i="6"/>
  <c r="BL97" i="6"/>
  <c r="BF97" i="6" s="1"/>
  <c r="H102" i="6"/>
  <c r="AY121" i="6"/>
  <c r="CY117" i="6"/>
  <c r="CY198" i="6" s="1"/>
  <c r="CX125" i="6"/>
  <c r="CG191" i="6"/>
  <c r="CG197" i="6" s="1"/>
  <c r="CG199" i="6" s="1"/>
  <c r="CG187" i="6"/>
  <c r="CG189" i="6" s="1"/>
  <c r="CA141" i="6"/>
  <c r="CW141" i="6" s="1"/>
  <c r="BD192" i="6"/>
  <c r="BJ153" i="6"/>
  <c r="DB153" i="6"/>
  <c r="CX153" i="6" s="1"/>
  <c r="DB160" i="6"/>
  <c r="BJ160" i="6"/>
  <c r="DD169" i="6"/>
  <c r="CX169" i="6" s="1"/>
  <c r="M173" i="6"/>
  <c r="CT194" i="6"/>
  <c r="CT197" i="6" s="1"/>
  <c r="CT199" i="6" s="1"/>
  <c r="CT67" i="6"/>
  <c r="CT189" i="6" s="1"/>
  <c r="AR194" i="6"/>
  <c r="AR197" i="6" s="1"/>
  <c r="AR199" i="6" s="1"/>
  <c r="AR67" i="6"/>
  <c r="AR189" i="6" s="1"/>
  <c r="BZ58" i="6"/>
  <c r="DR58" i="6"/>
  <c r="BF63" i="6"/>
  <c r="CZ88" i="6"/>
  <c r="CX88" i="6" s="1"/>
  <c r="M88" i="6"/>
  <c r="AI88" i="6" s="1"/>
  <c r="BE88" i="6" s="1"/>
  <c r="H91" i="6"/>
  <c r="I91" i="6" s="1"/>
  <c r="AJ94" i="6"/>
  <c r="BL94" i="6"/>
  <c r="I138" i="6"/>
  <c r="H177" i="6"/>
  <c r="I177" i="6" s="1"/>
  <c r="CA177" i="6"/>
  <c r="CW177" i="6" s="1"/>
  <c r="CR195" i="6"/>
  <c r="CB23" i="6"/>
  <c r="H23" i="6" s="1"/>
  <c r="I23" i="6" s="1"/>
  <c r="BF32" i="6"/>
  <c r="BH44" i="6"/>
  <c r="AJ44" i="6"/>
  <c r="AA194" i="6"/>
  <c r="AA197" i="6" s="1"/>
  <c r="AA199" i="6" s="1"/>
  <c r="AA67" i="6"/>
  <c r="M47" i="6"/>
  <c r="AI47" i="6" s="1"/>
  <c r="BE47" i="6" s="1"/>
  <c r="BT47" i="6"/>
  <c r="BT194" i="6" s="1"/>
  <c r="BV49" i="6"/>
  <c r="BF49" i="6" s="1"/>
  <c r="BV64" i="6"/>
  <c r="BV65" i="6"/>
  <c r="BF65" i="6" s="1"/>
  <c r="DN65" i="6"/>
  <c r="BZ73" i="6"/>
  <c r="AJ73" i="6"/>
  <c r="AI73" i="6" s="1"/>
  <c r="BE73" i="6" s="1"/>
  <c r="BH88" i="6"/>
  <c r="BF88" i="6" s="1"/>
  <c r="M95" i="6"/>
  <c r="AI95" i="6" s="1"/>
  <c r="BE95" i="6" s="1"/>
  <c r="DD96" i="6"/>
  <c r="CB96" i="6"/>
  <c r="H96" i="6" s="1"/>
  <c r="M102" i="6"/>
  <c r="CA102" i="6" s="1"/>
  <c r="CW102" i="6" s="1"/>
  <c r="BZ102" i="6"/>
  <c r="DB137" i="6"/>
  <c r="CX137" i="6" s="1"/>
  <c r="BJ137" i="6"/>
  <c r="DE160" i="6"/>
  <c r="BM160" i="6"/>
  <c r="CX178" i="6"/>
  <c r="BF5" i="6"/>
  <c r="AJ33" i="6"/>
  <c r="AI33" i="6" s="1"/>
  <c r="BE33" i="6" s="1"/>
  <c r="AY34" i="6"/>
  <c r="BZ50" i="6"/>
  <c r="BZ71" i="6"/>
  <c r="BX103" i="6"/>
  <c r="AJ89" i="6"/>
  <c r="AI89" i="6" s="1"/>
  <c r="BE89" i="6" s="1"/>
  <c r="CQ103" i="6"/>
  <c r="BF106" i="6"/>
  <c r="AK198" i="6"/>
  <c r="CA125" i="6"/>
  <c r="CW125" i="6" s="1"/>
  <c r="I132" i="6"/>
  <c r="BJ138" i="6"/>
  <c r="BF138" i="6" s="1"/>
  <c r="CB145" i="6"/>
  <c r="H145" i="6" s="1"/>
  <c r="I145" i="6" s="1"/>
  <c r="BZ160" i="6"/>
  <c r="CA164" i="6"/>
  <c r="CW164" i="6" s="1"/>
  <c r="BU25" i="6"/>
  <c r="BF27" i="6"/>
  <c r="CX36" i="6"/>
  <c r="DA67" i="6"/>
  <c r="AX67" i="6"/>
  <c r="CB48" i="6"/>
  <c r="H48" i="6" s="1"/>
  <c r="I48" i="6" s="1"/>
  <c r="DM75" i="6"/>
  <c r="AI80" i="6"/>
  <c r="BE80" i="6" s="1"/>
  <c r="BZ82" i="6"/>
  <c r="CX95" i="6"/>
  <c r="BL100" i="6"/>
  <c r="BF100" i="6" s="1"/>
  <c r="CA101" i="6"/>
  <c r="CW101" i="6" s="1"/>
  <c r="BJ121" i="6"/>
  <c r="DR116" i="6"/>
  <c r="BT120" i="6"/>
  <c r="CX134" i="6"/>
  <c r="DB149" i="6"/>
  <c r="I19" i="6"/>
  <c r="CX26" i="6"/>
  <c r="AQ193" i="6"/>
  <c r="CI18" i="6"/>
  <c r="DE18" i="6" s="1"/>
  <c r="DE193" i="6" s="1"/>
  <c r="CB30" i="6"/>
  <c r="CB31" i="6"/>
  <c r="H31" i="6" s="1"/>
  <c r="I31" i="6" s="1"/>
  <c r="DM48" i="6"/>
  <c r="CZ49" i="6"/>
  <c r="CX49" i="6" s="1"/>
  <c r="AI69" i="6"/>
  <c r="BE69" i="6" s="1"/>
  <c r="BZ77" i="6"/>
  <c r="CX109" i="6"/>
  <c r="CV121" i="6"/>
  <c r="BZ116" i="6"/>
  <c r="BF116" i="6" s="1"/>
  <c r="BX187" i="6"/>
  <c r="BJ148" i="6"/>
  <c r="CX176" i="6"/>
  <c r="CA178" i="6"/>
  <c r="CW178" i="6" s="1"/>
  <c r="BW193" i="6"/>
  <c r="CX23" i="6"/>
  <c r="W189" i="6"/>
  <c r="AF189" i="6"/>
  <c r="CQ67" i="6"/>
  <c r="AJ54" i="6"/>
  <c r="BF81" i="6"/>
  <c r="BF82" i="6"/>
  <c r="AN103" i="6"/>
  <c r="AW103" i="6"/>
  <c r="AW189" i="6" s="1"/>
  <c r="BF109" i="6"/>
  <c r="CX111" i="6"/>
  <c r="AJ116" i="6"/>
  <c r="AI116" i="6" s="1"/>
  <c r="BE116" i="6" s="1"/>
  <c r="BY191" i="6"/>
  <c r="BZ163" i="6"/>
  <c r="CA168" i="6"/>
  <c r="AI178" i="6"/>
  <c r="BE178" i="6" s="1"/>
  <c r="AI181" i="6"/>
  <c r="BE181" i="6" s="1"/>
  <c r="AC194" i="6"/>
  <c r="AC197" i="6" s="1"/>
  <c r="AC199" i="6" s="1"/>
  <c r="AM197" i="6"/>
  <c r="AM199" i="6" s="1"/>
  <c r="H129" i="6"/>
  <c r="CX133" i="6"/>
  <c r="CX179" i="6"/>
  <c r="DJ191" i="6"/>
  <c r="H125" i="6"/>
  <c r="I125" i="6" s="1"/>
  <c r="BF141" i="6"/>
  <c r="BU192" i="6"/>
  <c r="CX165" i="6"/>
  <c r="BX191" i="6"/>
  <c r="AI175" i="6"/>
  <c r="BE175" i="6" s="1"/>
  <c r="BF178" i="6"/>
  <c r="BP193" i="6"/>
  <c r="BT187" i="6"/>
  <c r="BQ191" i="6"/>
  <c r="BF125" i="6"/>
  <c r="CX132" i="6"/>
  <c r="BF144" i="6"/>
  <c r="AI152" i="6"/>
  <c r="BE152" i="6" s="1"/>
  <c r="H174" i="6"/>
  <c r="I174" i="6" s="1"/>
  <c r="BF177" i="6"/>
  <c r="CX185" i="6"/>
  <c r="CX123" i="6"/>
  <c r="CX130" i="6"/>
  <c r="BF142" i="6"/>
  <c r="AI171" i="6"/>
  <c r="BE171" i="6" s="1"/>
  <c r="AI186" i="6"/>
  <c r="BE186" i="6" s="1"/>
  <c r="BO191" i="6"/>
  <c r="I175" i="6"/>
  <c r="BF179" i="6"/>
  <c r="BO193" i="6"/>
  <c r="AI164" i="6"/>
  <c r="BE164" i="6" s="1"/>
  <c r="DE191" i="6"/>
  <c r="DO191" i="6"/>
  <c r="BF130" i="6"/>
  <c r="BF133" i="6"/>
  <c r="CA133" i="6"/>
  <c r="CW133" i="6" s="1"/>
  <c r="CA138" i="6"/>
  <c r="CW138" i="6" s="1"/>
  <c r="BF173" i="6"/>
  <c r="CX181" i="6"/>
  <c r="H110" i="6"/>
  <c r="I110" i="6" s="1"/>
  <c r="I116" i="6"/>
  <c r="BF107" i="6"/>
  <c r="CX107" i="6"/>
  <c r="CN189" i="6"/>
  <c r="DK121" i="6"/>
  <c r="BS121" i="6"/>
  <c r="AI109" i="6"/>
  <c r="BE109" i="6" s="1"/>
  <c r="AI76" i="6"/>
  <c r="BE76" i="6" s="1"/>
  <c r="CX94" i="6"/>
  <c r="I70" i="6"/>
  <c r="CU197" i="6"/>
  <c r="CU199" i="6" s="1"/>
  <c r="CX76" i="6"/>
  <c r="BF78" i="6"/>
  <c r="CX100" i="6"/>
  <c r="BO103" i="6"/>
  <c r="CX102" i="6"/>
  <c r="AE189" i="6"/>
  <c r="CU189" i="6"/>
  <c r="CK189" i="6"/>
  <c r="AI85" i="6"/>
  <c r="BE85" i="6" s="1"/>
  <c r="CX97" i="6"/>
  <c r="CA100" i="6"/>
  <c r="CW100" i="6" s="1"/>
  <c r="AI100" i="6"/>
  <c r="BE100" i="6" s="1"/>
  <c r="G189" i="6"/>
  <c r="BT103" i="6"/>
  <c r="CL189" i="6"/>
  <c r="BF38" i="6"/>
  <c r="CA40" i="6"/>
  <c r="CW40" i="6" s="1"/>
  <c r="AI41" i="6"/>
  <c r="BE41" i="6" s="1"/>
  <c r="CX51" i="6"/>
  <c r="N189" i="6"/>
  <c r="Y189" i="6"/>
  <c r="BF42" i="6"/>
  <c r="I51" i="6"/>
  <c r="BX194" i="6"/>
  <c r="AI54" i="6"/>
  <c r="BE54" i="6" s="1"/>
  <c r="BF61" i="6"/>
  <c r="CX42" i="6"/>
  <c r="AI62" i="6"/>
  <c r="BE62" i="6" s="1"/>
  <c r="BF57" i="6"/>
  <c r="BF66" i="6"/>
  <c r="AI36" i="6"/>
  <c r="BE36" i="6" s="1"/>
  <c r="BF52" i="6"/>
  <c r="V189" i="6"/>
  <c r="AT189" i="6"/>
  <c r="I41" i="6"/>
  <c r="G197" i="6"/>
  <c r="G199" i="6" s="1"/>
  <c r="CX9" i="6"/>
  <c r="BF26" i="6"/>
  <c r="U197" i="6"/>
  <c r="U199" i="6" s="1"/>
  <c r="CL197" i="6"/>
  <c r="CL199" i="6" s="1"/>
  <c r="CX12" i="6"/>
  <c r="DJ193" i="6"/>
  <c r="CX25" i="6"/>
  <c r="I11" i="6"/>
  <c r="AI21" i="6"/>
  <c r="BE23" i="6" s="1"/>
  <c r="CA25" i="6"/>
  <c r="CW25" i="6" s="1"/>
  <c r="CA28" i="6"/>
  <c r="CW28" i="6" s="1"/>
  <c r="AI31" i="6"/>
  <c r="BE31" i="6" s="1"/>
  <c r="X197" i="6"/>
  <c r="X199" i="6" s="1"/>
  <c r="AT197" i="6"/>
  <c r="AT199" i="6" s="1"/>
  <c r="BJ193" i="6"/>
  <c r="CA19" i="6"/>
  <c r="CW19" i="6" s="1"/>
  <c r="CM197" i="6"/>
  <c r="CM199" i="6" s="1"/>
  <c r="I6" i="6"/>
  <c r="CY193" i="6"/>
  <c r="H8" i="6"/>
  <c r="I8" i="6" s="1"/>
  <c r="AK197" i="6"/>
  <c r="AK199" i="6" s="1"/>
  <c r="AU197" i="6"/>
  <c r="AU199" i="6" s="1"/>
  <c r="DJ34" i="6"/>
  <c r="CX14" i="6"/>
  <c r="DH193" i="6"/>
  <c r="BA197" i="6"/>
  <c r="BW34" i="6"/>
  <c r="DN34" i="6"/>
  <c r="BF10" i="6"/>
  <c r="BF13" i="6"/>
  <c r="BF33" i="6"/>
  <c r="BO34" i="6"/>
  <c r="BZ53" i="6"/>
  <c r="BF53" i="6" s="1"/>
  <c r="M53" i="6"/>
  <c r="DR53" i="6"/>
  <c r="CX53" i="6" s="1"/>
  <c r="DD54" i="6"/>
  <c r="CB54" i="6"/>
  <c r="BZ64" i="6"/>
  <c r="AJ64" i="6"/>
  <c r="AI64" i="6" s="1"/>
  <c r="BE64" i="6" s="1"/>
  <c r="M79" i="6"/>
  <c r="CA79" i="6" s="1"/>
  <c r="CW79" i="6" s="1"/>
  <c r="BZ79" i="6"/>
  <c r="BF79" i="6" s="1"/>
  <c r="BA198" i="6"/>
  <c r="BA121" i="6"/>
  <c r="BA189" i="6" s="1"/>
  <c r="BW105" i="6"/>
  <c r="AJ105" i="6"/>
  <c r="H157" i="6"/>
  <c r="DB159" i="6"/>
  <c r="CB159" i="6"/>
  <c r="BP195" i="6"/>
  <c r="BP34" i="6"/>
  <c r="BX195" i="6"/>
  <c r="BX34" i="6"/>
  <c r="CZ195" i="6"/>
  <c r="DK195" i="6"/>
  <c r="DK34" i="6"/>
  <c r="CA5" i="6"/>
  <c r="CW5" i="6" s="1"/>
  <c r="AI5" i="6"/>
  <c r="BE5" i="6" s="1"/>
  <c r="S195" i="6"/>
  <c r="S34" i="6"/>
  <c r="BL11" i="6"/>
  <c r="CA13" i="6"/>
  <c r="CW13" i="6" s="1"/>
  <c r="I13" i="6"/>
  <c r="I15" i="6"/>
  <c r="DO193" i="6"/>
  <c r="BF20" i="6"/>
  <c r="BY195" i="6"/>
  <c r="BY34" i="6"/>
  <c r="H29" i="6"/>
  <c r="I29" i="6" s="1"/>
  <c r="CA29" i="6"/>
  <c r="CW29" i="6" s="1"/>
  <c r="H30" i="6"/>
  <c r="CA30" i="6"/>
  <c r="CW30" i="6" s="1"/>
  <c r="AP194" i="6"/>
  <c r="AP67" i="6"/>
  <c r="AJ35" i="6"/>
  <c r="AI38" i="6"/>
  <c r="BE38" i="6" s="1"/>
  <c r="DB58" i="6"/>
  <c r="CX58" i="6" s="1"/>
  <c r="M58" i="6"/>
  <c r="Q67" i="6"/>
  <c r="BJ58" i="6"/>
  <c r="BF58" i="6" s="1"/>
  <c r="CA66" i="6"/>
  <c r="CW66" i="6" s="1"/>
  <c r="H66" i="6"/>
  <c r="I66" i="6" s="1"/>
  <c r="CI67" i="6"/>
  <c r="BP196" i="6"/>
  <c r="BP103" i="6"/>
  <c r="DG103" i="6"/>
  <c r="DP103" i="6"/>
  <c r="H79" i="6"/>
  <c r="AJ91" i="6"/>
  <c r="AI91" i="6" s="1"/>
  <c r="BE91" i="6" s="1"/>
  <c r="BM91" i="6"/>
  <c r="BF91" i="6" s="1"/>
  <c r="BQ195" i="6"/>
  <c r="BQ34" i="6"/>
  <c r="CA6" i="6"/>
  <c r="CW6" i="6" s="1"/>
  <c r="BF7" i="6"/>
  <c r="AG195" i="6"/>
  <c r="DR10" i="6"/>
  <c r="CX10" i="6" s="1"/>
  <c r="AI15" i="6"/>
  <c r="BE15" i="6" s="1"/>
  <c r="CX15" i="6"/>
  <c r="H20" i="6"/>
  <c r="I20" i="6" s="1"/>
  <c r="CA20" i="6"/>
  <c r="CW20" i="6" s="1"/>
  <c r="CX28" i="6"/>
  <c r="AG34" i="6"/>
  <c r="DB34" i="6"/>
  <c r="DO67" i="6"/>
  <c r="BF39" i="6"/>
  <c r="AI49" i="6"/>
  <c r="BE49" i="6" s="1"/>
  <c r="BZ51" i="6"/>
  <c r="AJ51" i="6"/>
  <c r="AI51" i="6" s="1"/>
  <c r="BE51" i="6" s="1"/>
  <c r="AJ60" i="6"/>
  <c r="BL60" i="6"/>
  <c r="BD196" i="6"/>
  <c r="BD103" i="6"/>
  <c r="AJ68" i="6"/>
  <c r="H73" i="6"/>
  <c r="I73" i="6" s="1"/>
  <c r="CA73" i="6"/>
  <c r="CW73" i="6" s="1"/>
  <c r="DD75" i="6"/>
  <c r="CX75" i="6" s="1"/>
  <c r="CB75" i="6"/>
  <c r="CB82" i="6"/>
  <c r="DR82" i="6"/>
  <c r="CX82" i="6" s="1"/>
  <c r="CA88" i="6"/>
  <c r="CW88" i="6" s="1"/>
  <c r="CF196" i="6"/>
  <c r="DB90" i="6"/>
  <c r="CX90" i="6" s="1"/>
  <c r="CF103" i="6"/>
  <c r="CB90" i="6"/>
  <c r="DP198" i="6"/>
  <c r="DP121" i="6"/>
  <c r="CA118" i="6"/>
  <c r="CW118" i="6" s="1"/>
  <c r="H118" i="6"/>
  <c r="I118" i="6" s="1"/>
  <c r="BL123" i="6"/>
  <c r="BF123" i="6" s="1"/>
  <c r="AJ123" i="6"/>
  <c r="AI123" i="6" s="1"/>
  <c r="BE123" i="6" s="1"/>
  <c r="Q191" i="6"/>
  <c r="DB124" i="6"/>
  <c r="Q187" i="6"/>
  <c r="M124" i="6"/>
  <c r="BJ124" i="6"/>
  <c r="H155" i="6"/>
  <c r="I49" i="6"/>
  <c r="CA49" i="6"/>
  <c r="CW49" i="6" s="1"/>
  <c r="I30" i="6"/>
  <c r="BF36" i="6"/>
  <c r="CA38" i="6"/>
  <c r="CW38" i="6" s="1"/>
  <c r="H38" i="6"/>
  <c r="I38" i="6" s="1"/>
  <c r="H53" i="6"/>
  <c r="CA22" i="6"/>
  <c r="CW22" i="6" s="1"/>
  <c r="BF28" i="6"/>
  <c r="CX30" i="6"/>
  <c r="CX31" i="6"/>
  <c r="CX38" i="6"/>
  <c r="AI42" i="6"/>
  <c r="BE42" i="6" s="1"/>
  <c r="CZ21" i="6"/>
  <c r="CX21" i="6" s="1"/>
  <c r="BH21" i="6"/>
  <c r="BF21" i="6" s="1"/>
  <c r="O34" i="6"/>
  <c r="BL25" i="6"/>
  <c r="BF25" i="6" s="1"/>
  <c r="CX29" i="6"/>
  <c r="BL35" i="6"/>
  <c r="AL194" i="6"/>
  <c r="AL197" i="6" s="1"/>
  <c r="AL199" i="6" s="1"/>
  <c r="AJ37" i="6"/>
  <c r="AL67" i="6"/>
  <c r="AL189" i="6" s="1"/>
  <c r="DE48" i="6"/>
  <c r="BM48" i="6"/>
  <c r="DD56" i="6"/>
  <c r="CX56" i="6" s="1"/>
  <c r="CB56" i="6"/>
  <c r="CB64" i="6"/>
  <c r="DM64" i="6"/>
  <c r="CA70" i="6"/>
  <c r="CW70" i="6" s="1"/>
  <c r="AP103" i="6"/>
  <c r="CA89" i="6"/>
  <c r="CW89" i="6" s="1"/>
  <c r="I89" i="6"/>
  <c r="CZ96" i="6"/>
  <c r="M96" i="6"/>
  <c r="BH96" i="6"/>
  <c r="BF96" i="6" s="1"/>
  <c r="H21" i="6"/>
  <c r="I21" i="6" s="1"/>
  <c r="CA21" i="6"/>
  <c r="CW21" i="6" s="1"/>
  <c r="BG34" i="6"/>
  <c r="AI6" i="6"/>
  <c r="BE6" i="6" s="1"/>
  <c r="CX6" i="6"/>
  <c r="BF15" i="6"/>
  <c r="AB195" i="6"/>
  <c r="AB34" i="6"/>
  <c r="M16" i="6"/>
  <c r="BS193" i="6"/>
  <c r="BT30" i="6"/>
  <c r="AJ30" i="6"/>
  <c r="AI30" i="6" s="1"/>
  <c r="BE30" i="6" s="1"/>
  <c r="AI50" i="6"/>
  <c r="BE50" i="6" s="1"/>
  <c r="DO34" i="6"/>
  <c r="CX16" i="6"/>
  <c r="DR22" i="6"/>
  <c r="BZ22" i="6"/>
  <c r="BZ195" i="6" s="1"/>
  <c r="DG195" i="6"/>
  <c r="DG34" i="6"/>
  <c r="DP195" i="6"/>
  <c r="DP34" i="6"/>
  <c r="BF6" i="6"/>
  <c r="DD11" i="6"/>
  <c r="T34" i="6"/>
  <c r="CX20" i="6"/>
  <c r="AI22" i="6"/>
  <c r="AI24" i="6"/>
  <c r="BE24" i="6" s="1"/>
  <c r="CX24" i="6"/>
  <c r="CX33" i="6"/>
  <c r="BP67" i="6"/>
  <c r="AJ40" i="6"/>
  <c r="AI40" i="6" s="1"/>
  <c r="BE40" i="6" s="1"/>
  <c r="BL40" i="6"/>
  <c r="BF40" i="6" s="1"/>
  <c r="CX40" i="6"/>
  <c r="BL43" i="6"/>
  <c r="BF43" i="6" s="1"/>
  <c r="M43" i="6"/>
  <c r="I43" i="6" s="1"/>
  <c r="DD43" i="6"/>
  <c r="CX43" i="6" s="1"/>
  <c r="CV194" i="6"/>
  <c r="CB46" i="6"/>
  <c r="CV67" i="6"/>
  <c r="CA50" i="6"/>
  <c r="CW50" i="6" s="1"/>
  <c r="DM62" i="6"/>
  <c r="CX62" i="6" s="1"/>
  <c r="CB62" i="6"/>
  <c r="AI70" i="6"/>
  <c r="BE70" i="6" s="1"/>
  <c r="CV103" i="6"/>
  <c r="DR71" i="6"/>
  <c r="CX71" i="6" s="1"/>
  <c r="BF76" i="6"/>
  <c r="BH98" i="6"/>
  <c r="M98" i="6"/>
  <c r="CZ98" i="6"/>
  <c r="DL115" i="6"/>
  <c r="CX115" i="6" s="1"/>
  <c r="H127" i="6"/>
  <c r="H149" i="6"/>
  <c r="BV169" i="6"/>
  <c r="BV195" i="6" s="1"/>
  <c r="AJ169" i="6"/>
  <c r="CH194" i="6"/>
  <c r="CB35" i="6"/>
  <c r="CH67" i="6"/>
  <c r="T196" i="6"/>
  <c r="T103" i="6"/>
  <c r="M74" i="6"/>
  <c r="DE74" i="6"/>
  <c r="CX74" i="6" s="1"/>
  <c r="CZ84" i="6"/>
  <c r="M84" i="6"/>
  <c r="BH84" i="6"/>
  <c r="AP195" i="6"/>
  <c r="AP34" i="6"/>
  <c r="BI194" i="6"/>
  <c r="BI197" i="6" s="1"/>
  <c r="BI199" i="6" s="1"/>
  <c r="BI67" i="6"/>
  <c r="BI189" i="6" s="1"/>
  <c r="DP194" i="6"/>
  <c r="DP67" i="6"/>
  <c r="BF56" i="6"/>
  <c r="AI131" i="6"/>
  <c r="BE131" i="6" s="1"/>
  <c r="BF23" i="6"/>
  <c r="CA26" i="6"/>
  <c r="CW26" i="6" s="1"/>
  <c r="AI26" i="6"/>
  <c r="BE26" i="6" s="1"/>
  <c r="AI44" i="6"/>
  <c r="BE44" i="6" s="1"/>
  <c r="BH45" i="6"/>
  <c r="CX93" i="6"/>
  <c r="CA107" i="6"/>
  <c r="CW107" i="6" s="1"/>
  <c r="I107" i="6"/>
  <c r="AI107" i="6"/>
  <c r="BE107" i="6" s="1"/>
  <c r="H115" i="6"/>
  <c r="H165" i="6"/>
  <c r="I165" i="6" s="1"/>
  <c r="CA165" i="6"/>
  <c r="CW165" i="6" s="1"/>
  <c r="I166" i="6"/>
  <c r="CA166" i="6"/>
  <c r="CW166" i="6" s="1"/>
  <c r="BJ34" i="6"/>
  <c r="DC34" i="6"/>
  <c r="BF8" i="6"/>
  <c r="BT193" i="6"/>
  <c r="BM195" i="6"/>
  <c r="BV34" i="6"/>
  <c r="DH195" i="6"/>
  <c r="DH34" i="6"/>
  <c r="CV195" i="6"/>
  <c r="CB10" i="6"/>
  <c r="CA11" i="6"/>
  <c r="CW11" i="6" s="1"/>
  <c r="CA14" i="6"/>
  <c r="CW14" i="6" s="1"/>
  <c r="AI14" i="6"/>
  <c r="BE14" i="6" s="1"/>
  <c r="BU16" i="6"/>
  <c r="BU34" i="6" s="1"/>
  <c r="AG193" i="6"/>
  <c r="BZ17" i="6"/>
  <c r="M17" i="6"/>
  <c r="AZ195" i="6"/>
  <c r="AZ34" i="6"/>
  <c r="AI27" i="6"/>
  <c r="BE27" i="6" s="1"/>
  <c r="CX27" i="6"/>
  <c r="H28" i="6"/>
  <c r="I28" i="6" s="1"/>
  <c r="BF29" i="6"/>
  <c r="BF31" i="6"/>
  <c r="AD189" i="6"/>
  <c r="AQ34" i="6"/>
  <c r="DD39" i="6"/>
  <c r="CB39" i="6"/>
  <c r="CI194" i="6"/>
  <c r="CB44" i="6"/>
  <c r="BD194" i="6"/>
  <c r="BD67" i="6"/>
  <c r="AJ46" i="6"/>
  <c r="AI46" i="6" s="1"/>
  <c r="BE46" i="6" s="1"/>
  <c r="BZ46" i="6"/>
  <c r="DB60" i="6"/>
  <c r="BJ60" i="6"/>
  <c r="I61" i="6"/>
  <c r="AI61" i="6"/>
  <c r="BE61" i="6" s="1"/>
  <c r="CF67" i="6"/>
  <c r="BX196" i="6"/>
  <c r="BM74" i="6"/>
  <c r="BF74" i="6" s="1"/>
  <c r="DR79" i="6"/>
  <c r="CX79" i="6" s="1"/>
  <c r="M81" i="6"/>
  <c r="DE81" i="6"/>
  <c r="CX81" i="6" s="1"/>
  <c r="I113" i="6"/>
  <c r="CA113" i="6"/>
  <c r="CW113" i="6" s="1"/>
  <c r="AI113" i="6"/>
  <c r="BE113" i="6" s="1"/>
  <c r="DH194" i="6"/>
  <c r="DH67" i="6"/>
  <c r="CD194" i="6"/>
  <c r="CD197" i="6" s="1"/>
  <c r="CD199" i="6" s="1"/>
  <c r="CB36" i="6"/>
  <c r="BH48" i="6"/>
  <c r="CX61" i="6"/>
  <c r="AY67" i="6"/>
  <c r="BU62" i="6"/>
  <c r="AI63" i="6"/>
  <c r="BE63" i="6" s="1"/>
  <c r="H68" i="6"/>
  <c r="DH196" i="6"/>
  <c r="DH103" i="6"/>
  <c r="BF69" i="6"/>
  <c r="CA77" i="6"/>
  <c r="CW77" i="6" s="1"/>
  <c r="H77" i="6"/>
  <c r="I77" i="6" s="1"/>
  <c r="O196" i="6"/>
  <c r="O103" i="6"/>
  <c r="M78" i="6"/>
  <c r="CZ78" i="6"/>
  <c r="H80" i="6"/>
  <c r="I80" i="6" s="1"/>
  <c r="CA80" i="6"/>
  <c r="CW80" i="6" s="1"/>
  <c r="Q196" i="6"/>
  <c r="DB89" i="6"/>
  <c r="CX89" i="6" s="1"/>
  <c r="BJ89" i="6"/>
  <c r="BF89" i="6" s="1"/>
  <c r="Q103" i="6"/>
  <c r="CX118" i="6"/>
  <c r="DG191" i="6"/>
  <c r="DP191" i="6"/>
  <c r="M126" i="6"/>
  <c r="DB126" i="6"/>
  <c r="CX126" i="6" s="1"/>
  <c r="DI187" i="6"/>
  <c r="DI189" i="6" s="1"/>
  <c r="DI191" i="6"/>
  <c r="DI197" i="6" s="1"/>
  <c r="DI199" i="6" s="1"/>
  <c r="DB131" i="6"/>
  <c r="CX131" i="6" s="1"/>
  <c r="BJ131" i="6"/>
  <c r="BF131" i="6" s="1"/>
  <c r="BF155" i="6"/>
  <c r="BJ166" i="6"/>
  <c r="BF166" i="6" s="1"/>
  <c r="DB166" i="6"/>
  <c r="CX166" i="6" s="1"/>
  <c r="AI176" i="6"/>
  <c r="BE176" i="6" s="1"/>
  <c r="AX195" i="6"/>
  <c r="BO195" i="6"/>
  <c r="BW194" i="6"/>
  <c r="CY195" i="6"/>
  <c r="DJ195" i="6"/>
  <c r="BG193" i="6"/>
  <c r="BU193" i="6"/>
  <c r="DG193" i="6"/>
  <c r="DP193" i="6"/>
  <c r="BM18" i="6"/>
  <c r="BM193" i="6" s="1"/>
  <c r="P189" i="6"/>
  <c r="X189" i="6"/>
  <c r="AX34" i="6"/>
  <c r="CM189" i="6"/>
  <c r="AN194" i="6"/>
  <c r="AN67" i="6"/>
  <c r="BW67" i="6"/>
  <c r="DJ194" i="6"/>
  <c r="AZ194" i="6"/>
  <c r="CZ37" i="6"/>
  <c r="CX37" i="6" s="1"/>
  <c r="AB194" i="6"/>
  <c r="AB67" i="6"/>
  <c r="DE44" i="6"/>
  <c r="BL48" i="6"/>
  <c r="BF51" i="6"/>
  <c r="M60" i="6"/>
  <c r="BH60" i="6"/>
  <c r="DN63" i="6"/>
  <c r="CB63" i="6"/>
  <c r="AC67" i="6"/>
  <c r="AC189" i="6" s="1"/>
  <c r="BG196" i="6"/>
  <c r="BG103" i="6"/>
  <c r="BF68" i="6"/>
  <c r="BR196" i="6"/>
  <c r="BR103" i="6"/>
  <c r="CB71" i="6"/>
  <c r="CA72" i="6"/>
  <c r="CW72" i="6" s="1"/>
  <c r="BF73" i="6"/>
  <c r="BF77" i="6"/>
  <c r="DE78" i="6"/>
  <c r="AQ103" i="6"/>
  <c r="AJ81" i="6"/>
  <c r="AI81" i="6" s="1"/>
  <c r="BE81" i="6" s="1"/>
  <c r="I85" i="6"/>
  <c r="BS87" i="6"/>
  <c r="BF87" i="6" s="1"/>
  <c r="AJ90" i="6"/>
  <c r="AI90" i="6" s="1"/>
  <c r="BE90" i="6" s="1"/>
  <c r="H93" i="6"/>
  <c r="I93" i="6" s="1"/>
  <c r="DD101" i="6"/>
  <c r="BH198" i="6"/>
  <c r="BH121" i="6"/>
  <c r="DD121" i="6"/>
  <c r="CX110" i="6"/>
  <c r="CA116" i="6"/>
  <c r="CW116" i="6" s="1"/>
  <c r="BF120" i="6"/>
  <c r="CX122" i="6"/>
  <c r="DL187" i="6"/>
  <c r="AI128" i="6"/>
  <c r="BE128" i="6" s="1"/>
  <c r="H144" i="6"/>
  <c r="DB145" i="6"/>
  <c r="BJ145" i="6"/>
  <c r="BF145" i="6" s="1"/>
  <c r="CA148" i="6"/>
  <c r="CW148" i="6" s="1"/>
  <c r="AI148" i="6"/>
  <c r="BE148" i="6" s="1"/>
  <c r="I152" i="6"/>
  <c r="CA152" i="6"/>
  <c r="CW152" i="6" s="1"/>
  <c r="H161" i="6"/>
  <c r="DP187" i="6"/>
  <c r="DA194" i="6"/>
  <c r="CQ194" i="6"/>
  <c r="CJ194" i="6"/>
  <c r="CJ197" i="6" s="1"/>
  <c r="CJ199" i="6" s="1"/>
  <c r="CJ67" i="6"/>
  <c r="CJ189" i="6" s="1"/>
  <c r="DL196" i="6"/>
  <c r="DL103" i="6"/>
  <c r="I94" i="6"/>
  <c r="AJ119" i="6"/>
  <c r="AI119" i="6" s="1"/>
  <c r="BE119" i="6" s="1"/>
  <c r="BW119" i="6"/>
  <c r="BF119" i="6" s="1"/>
  <c r="BR195" i="6"/>
  <c r="CH195" i="6"/>
  <c r="DK193" i="6"/>
  <c r="Q194" i="6"/>
  <c r="BR194" i="6"/>
  <c r="DB35" i="6"/>
  <c r="BL41" i="6"/>
  <c r="BF41" i="6" s="1"/>
  <c r="AQ194" i="6"/>
  <c r="AQ67" i="6"/>
  <c r="BM44" i="6"/>
  <c r="AG194" i="6"/>
  <c r="DR46" i="6"/>
  <c r="BH47" i="6"/>
  <c r="BF47" i="6" s="1"/>
  <c r="CK194" i="6"/>
  <c r="CK197" i="6" s="1"/>
  <c r="CK199" i="6" s="1"/>
  <c r="DG48" i="6"/>
  <c r="DG67" i="6" s="1"/>
  <c r="DF48" i="6"/>
  <c r="BY194" i="6"/>
  <c r="BY67" i="6"/>
  <c r="BB67" i="6"/>
  <c r="BB189" i="6" s="1"/>
  <c r="BN67" i="6"/>
  <c r="BN189" i="6" s="1"/>
  <c r="AY196" i="6"/>
  <c r="AY103" i="6"/>
  <c r="BU70" i="6"/>
  <c r="DR73" i="6"/>
  <c r="AJ93" i="6"/>
  <c r="AI93" i="6" s="1"/>
  <c r="BE93" i="6" s="1"/>
  <c r="BL93" i="6"/>
  <c r="BF93" i="6" s="1"/>
  <c r="AI94" i="6"/>
  <c r="BE94" i="6" s="1"/>
  <c r="CA95" i="6"/>
  <c r="CW95" i="6" s="1"/>
  <c r="DH198" i="6"/>
  <c r="DH121" i="6"/>
  <c r="DE121" i="6"/>
  <c r="AI118" i="6"/>
  <c r="BE118" i="6" s="1"/>
  <c r="BJ126" i="6"/>
  <c r="BF126" i="6" s="1"/>
  <c r="M139" i="6"/>
  <c r="BJ139" i="6"/>
  <c r="DB139" i="6"/>
  <c r="CX139" i="6" s="1"/>
  <c r="DR157" i="6"/>
  <c r="CX157" i="6" s="1"/>
  <c r="M157" i="6"/>
  <c r="BZ157" i="6"/>
  <c r="BF157" i="6" s="1"/>
  <c r="AG192" i="6"/>
  <c r="O194" i="6"/>
  <c r="O67" i="6"/>
  <c r="DK191" i="6"/>
  <c r="H172" i="6"/>
  <c r="AI183" i="6"/>
  <c r="BE183" i="6" s="1"/>
  <c r="BS195" i="6"/>
  <c r="DN195" i="6"/>
  <c r="DB193" i="6"/>
  <c r="DL193" i="6"/>
  <c r="O193" i="6"/>
  <c r="BH19" i="6"/>
  <c r="BF19" i="6" s="1"/>
  <c r="BR34" i="6"/>
  <c r="CY34" i="6"/>
  <c r="S194" i="6"/>
  <c r="BG194" i="6"/>
  <c r="BG67" i="6"/>
  <c r="CE67" i="6"/>
  <c r="CE189" i="6" s="1"/>
  <c r="CE194" i="6"/>
  <c r="DD35" i="6"/>
  <c r="DM39" i="6"/>
  <c r="DD41" i="6"/>
  <c r="CX41" i="6" s="1"/>
  <c r="CZ54" i="6"/>
  <c r="AI57" i="6"/>
  <c r="BE57" i="6" s="1"/>
  <c r="DD57" i="6"/>
  <c r="CX57" i="6" s="1"/>
  <c r="CB57" i="6"/>
  <c r="BZ59" i="6"/>
  <c r="BF59" i="6" s="1"/>
  <c r="M59" i="6"/>
  <c r="AG67" i="6"/>
  <c r="AG196" i="6"/>
  <c r="AG103" i="6"/>
  <c r="M68" i="6"/>
  <c r="DN196" i="6"/>
  <c r="DN103" i="6"/>
  <c r="H69" i="6"/>
  <c r="I69" i="6" s="1"/>
  <c r="CA69" i="6"/>
  <c r="CW69" i="6" s="1"/>
  <c r="CX91" i="6"/>
  <c r="I97" i="6"/>
  <c r="CA97" i="6"/>
  <c r="CW97" i="6" s="1"/>
  <c r="BL98" i="6"/>
  <c r="AB196" i="6"/>
  <c r="DM99" i="6"/>
  <c r="BU99" i="6"/>
  <c r="BF99" i="6" s="1"/>
  <c r="AB103" i="6"/>
  <c r="BF102" i="6"/>
  <c r="BR198" i="6"/>
  <c r="BR121" i="6"/>
  <c r="DJ198" i="6"/>
  <c r="DJ121" i="6"/>
  <c r="BT114" i="6"/>
  <c r="BF114" i="6" s="1"/>
  <c r="AJ114" i="6"/>
  <c r="AI114" i="6" s="1"/>
  <c r="BE114" i="6" s="1"/>
  <c r="DB121" i="6"/>
  <c r="DO192" i="6"/>
  <c r="CA145" i="6"/>
  <c r="CW145" i="6" s="1"/>
  <c r="BJ146" i="6"/>
  <c r="BF146" i="6" s="1"/>
  <c r="M146" i="6"/>
  <c r="DB146" i="6"/>
  <c r="CX146" i="6" s="1"/>
  <c r="H160" i="6"/>
  <c r="BP194" i="6"/>
  <c r="AS194" i="6"/>
  <c r="AS197" i="6" s="1"/>
  <c r="AS199" i="6" s="1"/>
  <c r="AS67" i="6"/>
  <c r="AS189" i="6" s="1"/>
  <c r="BT196" i="6"/>
  <c r="CA81" i="6"/>
  <c r="CW81" i="6" s="1"/>
  <c r="DD92" i="6"/>
  <c r="CX92" i="6" s="1"/>
  <c r="CB92" i="6"/>
  <c r="CH103" i="6"/>
  <c r="BT117" i="6"/>
  <c r="AJ117" i="6"/>
  <c r="AI117" i="6" s="1"/>
  <c r="BE117" i="6" s="1"/>
  <c r="BK195" i="6"/>
  <c r="S187" i="6"/>
  <c r="DD124" i="6"/>
  <c r="DD191" i="6" s="1"/>
  <c r="BL124" i="6"/>
  <c r="BL191" i="6" s="1"/>
  <c r="BG195" i="6"/>
  <c r="DC195" i="6"/>
  <c r="BH195" i="6"/>
  <c r="CP195" i="6"/>
  <c r="DE195" i="6"/>
  <c r="DO195" i="6"/>
  <c r="BD195" i="6"/>
  <c r="BR193" i="6"/>
  <c r="DC193" i="6"/>
  <c r="DM193" i="6"/>
  <c r="T193" i="6"/>
  <c r="CZ19" i="6"/>
  <c r="CX19" i="6" s="1"/>
  <c r="U189" i="6"/>
  <c r="AU189" i="6"/>
  <c r="BS34" i="6"/>
  <c r="CR34" i="6"/>
  <c r="T194" i="6"/>
  <c r="T67" i="6"/>
  <c r="BH35" i="6"/>
  <c r="BT67" i="6"/>
  <c r="CF194" i="6"/>
  <c r="DE35" i="6"/>
  <c r="DO194" i="6"/>
  <c r="BQ194" i="6"/>
  <c r="BQ67" i="6"/>
  <c r="CZ45" i="6"/>
  <c r="CX45" i="6" s="1"/>
  <c r="M45" i="6"/>
  <c r="BO48" i="6"/>
  <c r="BO194" i="6" s="1"/>
  <c r="CO194" i="6"/>
  <c r="CO197" i="6" s="1"/>
  <c r="CO199" i="6" s="1"/>
  <c r="CO67" i="6"/>
  <c r="CO189" i="6" s="1"/>
  <c r="CB52" i="6"/>
  <c r="DK52" i="6"/>
  <c r="CX52" i="6" s="1"/>
  <c r="BF54" i="6"/>
  <c r="Z194" i="6"/>
  <c r="Z67" i="6"/>
  <c r="Z189" i="6" s="1"/>
  <c r="M55" i="6"/>
  <c r="DR59" i="6"/>
  <c r="CX59" i="6" s="1"/>
  <c r="CA61" i="6"/>
  <c r="CW61" i="6" s="1"/>
  <c r="DL65" i="6"/>
  <c r="CX65" i="6" s="1"/>
  <c r="BR67" i="6"/>
  <c r="CD67" i="6"/>
  <c r="CD189" i="6" s="1"/>
  <c r="DJ67" i="6"/>
  <c r="BO196" i="6"/>
  <c r="BW195" i="6"/>
  <c r="DO196" i="6"/>
  <c r="DD70" i="6"/>
  <c r="CX70" i="6" s="1"/>
  <c r="BL71" i="6"/>
  <c r="AJ71" i="6"/>
  <c r="AI71" i="6" s="1"/>
  <c r="BE71" i="6" s="1"/>
  <c r="BL75" i="6"/>
  <c r="BF75" i="6" s="1"/>
  <c r="AJ75" i="6"/>
  <c r="AI75" i="6" s="1"/>
  <c r="BE75" i="6" s="1"/>
  <c r="CI196" i="6"/>
  <c r="CB78" i="6"/>
  <c r="BH83" i="6"/>
  <c r="BF83" i="6" s="1"/>
  <c r="M83" i="6"/>
  <c r="CZ83" i="6"/>
  <c r="CX83" i="6" s="1"/>
  <c r="BF85" i="6"/>
  <c r="AI86" i="6"/>
  <c r="BE86" i="6" s="1"/>
  <c r="Z196" i="6"/>
  <c r="M87" i="6"/>
  <c r="BF94" i="6"/>
  <c r="H101" i="6"/>
  <c r="I101" i="6" s="1"/>
  <c r="BW103" i="6"/>
  <c r="CY121" i="6"/>
  <c r="M115" i="6"/>
  <c r="BZ115" i="6"/>
  <c r="BF115" i="6" s="1"/>
  <c r="AI133" i="6"/>
  <c r="BE133" i="6" s="1"/>
  <c r="I133" i="6"/>
  <c r="DB136" i="6"/>
  <c r="CX136" i="6" s="1"/>
  <c r="M136" i="6"/>
  <c r="CA136" i="6" s="1"/>
  <c r="CW136" i="6" s="1"/>
  <c r="BJ136" i="6"/>
  <c r="BF136" i="6" s="1"/>
  <c r="Q192" i="6"/>
  <c r="CZ158" i="6"/>
  <c r="BH158" i="6"/>
  <c r="M158" i="6"/>
  <c r="CR194" i="6"/>
  <c r="AY194" i="6"/>
  <c r="AX194" i="6"/>
  <c r="CR67" i="6"/>
  <c r="BV196" i="6"/>
  <c r="S196" i="6"/>
  <c r="S103" i="6"/>
  <c r="DR80" i="6"/>
  <c r="CX80" i="6" s="1"/>
  <c r="AN196" i="6"/>
  <c r="BJ90" i="6"/>
  <c r="BF90" i="6" s="1"/>
  <c r="BV103" i="6"/>
  <c r="DG198" i="6"/>
  <c r="DG121" i="6"/>
  <c r="BQ198" i="6"/>
  <c r="BQ121" i="6"/>
  <c r="BS187" i="6"/>
  <c r="I123" i="6"/>
  <c r="CA123" i="6"/>
  <c r="CW123" i="6" s="1"/>
  <c r="BP191" i="6"/>
  <c r="BZ191" i="6"/>
  <c r="BF132" i="6"/>
  <c r="DB135" i="6"/>
  <c r="CX135" i="6" s="1"/>
  <c r="CX138" i="6"/>
  <c r="BD191" i="6"/>
  <c r="BD187" i="6"/>
  <c r="AJ142" i="6"/>
  <c r="AI142" i="6" s="1"/>
  <c r="BE142" i="6" s="1"/>
  <c r="BP192" i="6"/>
  <c r="DQ192" i="6"/>
  <c r="AI156" i="6"/>
  <c r="BE156" i="6" s="1"/>
  <c r="BF172" i="6"/>
  <c r="BQ196" i="6"/>
  <c r="DG196" i="6"/>
  <c r="DP196" i="6"/>
  <c r="AP196" i="6"/>
  <c r="H81" i="6"/>
  <c r="DR86" i="6"/>
  <c r="CX86" i="6" s="1"/>
  <c r="AJ87" i="6"/>
  <c r="DC103" i="6"/>
  <c r="M105" i="6"/>
  <c r="CA105" i="6" s="1"/>
  <c r="CW105" i="6" s="1"/>
  <c r="BJ198" i="6"/>
  <c r="DK198" i="6"/>
  <c r="AX198" i="6"/>
  <c r="AX121" i="6"/>
  <c r="AJ110" i="6"/>
  <c r="AI110" i="6" s="1"/>
  <c r="BE110" i="6" s="1"/>
  <c r="BT110" i="6"/>
  <c r="CB119" i="6"/>
  <c r="DM119" i="6"/>
  <c r="BS191" i="6"/>
  <c r="BF129" i="6"/>
  <c r="BS192" i="6"/>
  <c r="BJ147" i="6"/>
  <c r="BF147" i="6" s="1"/>
  <c r="M147" i="6"/>
  <c r="M149" i="6"/>
  <c r="CA149" i="6" s="1"/>
  <c r="CW149" i="6" s="1"/>
  <c r="R192" i="6"/>
  <c r="DC149" i="6"/>
  <c r="BK149" i="6"/>
  <c r="O192" i="6"/>
  <c r="CZ155" i="6"/>
  <c r="O187" i="6"/>
  <c r="M155" i="6"/>
  <c r="CA155" i="6" s="1"/>
  <c r="CW155" i="6" s="1"/>
  <c r="DB163" i="6"/>
  <c r="CX163" i="6" s="1"/>
  <c r="BJ163" i="6"/>
  <c r="BF163" i="6" s="1"/>
  <c r="M163" i="6"/>
  <c r="CQ187" i="6"/>
  <c r="CB182" i="6"/>
  <c r="DM182" i="6"/>
  <c r="CX182" i="6" s="1"/>
  <c r="DD183" i="6"/>
  <c r="BL183" i="6"/>
  <c r="BF183" i="6" s="1"/>
  <c r="CA94" i="6"/>
  <c r="CW94" i="6" s="1"/>
  <c r="BJ101" i="6"/>
  <c r="DB101" i="6"/>
  <c r="BQ103" i="6"/>
  <c r="O198" i="6"/>
  <c r="O121" i="6"/>
  <c r="BL198" i="6"/>
  <c r="BL121" i="6"/>
  <c r="CB106" i="6"/>
  <c r="DO106" i="6"/>
  <c r="CX106" i="6" s="1"/>
  <c r="AG198" i="6"/>
  <c r="BZ108" i="6"/>
  <c r="AG121" i="6"/>
  <c r="DR108" i="6"/>
  <c r="CA122" i="6"/>
  <c r="CW122" i="6" s="1"/>
  <c r="BO187" i="6"/>
  <c r="BW187" i="6"/>
  <c r="DO187" i="6"/>
  <c r="BT191" i="6"/>
  <c r="M127" i="6"/>
  <c r="DB127" i="6"/>
  <c r="CA128" i="6"/>
  <c r="CW128" i="6" s="1"/>
  <c r="H128" i="6"/>
  <c r="I128" i="6" s="1"/>
  <c r="CA131" i="6"/>
  <c r="CW131" i="6" s="1"/>
  <c r="H131" i="6"/>
  <c r="I131" i="6" s="1"/>
  <c r="DB151" i="6"/>
  <c r="CX151" i="6" s="1"/>
  <c r="BJ151" i="6"/>
  <c r="BF151" i="6" s="1"/>
  <c r="M151" i="6"/>
  <c r="AI151" i="6" s="1"/>
  <c r="BE151" i="6" s="1"/>
  <c r="H154" i="6"/>
  <c r="I154" i="6" s="1"/>
  <c r="CA154" i="6"/>
  <c r="CW154" i="6" s="1"/>
  <c r="BF156" i="6"/>
  <c r="CH192" i="6"/>
  <c r="DD162" i="6"/>
  <c r="DD192" i="6" s="1"/>
  <c r="CB162" i="6"/>
  <c r="M167" i="6"/>
  <c r="BJ167" i="6"/>
  <c r="BF167" i="6" s="1"/>
  <c r="DB167" i="6"/>
  <c r="CX167" i="6" s="1"/>
  <c r="CA173" i="6"/>
  <c r="CW173" i="6" s="1"/>
  <c r="H173" i="6"/>
  <c r="CP194" i="6"/>
  <c r="CV196" i="6"/>
  <c r="DJ196" i="6"/>
  <c r="DJ103" i="6"/>
  <c r="CH196" i="6"/>
  <c r="AQ196" i="6"/>
  <c r="DA196" i="6"/>
  <c r="BZ86" i="6"/>
  <c r="BL101" i="6"/>
  <c r="BM198" i="6"/>
  <c r="BM121" i="6"/>
  <c r="DB198" i="6"/>
  <c r="I112" i="6"/>
  <c r="CA112" i="6"/>
  <c r="CW112" i="6" s="1"/>
  <c r="CS121" i="6"/>
  <c r="CS189" i="6" s="1"/>
  <c r="AP187" i="6"/>
  <c r="BL122" i="6"/>
  <c r="AJ122" i="6"/>
  <c r="BP187" i="6"/>
  <c r="DK187" i="6"/>
  <c r="R187" i="6"/>
  <c r="R189" i="6" s="1"/>
  <c r="BK127" i="6"/>
  <c r="BK187" i="6" s="1"/>
  <c r="BK189" i="6" s="1"/>
  <c r="DC127" i="6"/>
  <c r="R191" i="6"/>
  <c r="BF128" i="6"/>
  <c r="I129" i="6"/>
  <c r="BF153" i="6"/>
  <c r="BC192" i="6"/>
  <c r="BC197" i="6" s="1"/>
  <c r="BC199" i="6" s="1"/>
  <c r="AJ165" i="6"/>
  <c r="AI165" i="6" s="1"/>
  <c r="BE165" i="6" s="1"/>
  <c r="BY165" i="6"/>
  <c r="BY192" i="6" s="1"/>
  <c r="BC187" i="6"/>
  <c r="BC189" i="6" s="1"/>
  <c r="BL180" i="6"/>
  <c r="BF180" i="6" s="1"/>
  <c r="AJ180" i="6"/>
  <c r="AI180" i="6" s="1"/>
  <c r="BE180" i="6" s="1"/>
  <c r="BH191" i="6"/>
  <c r="BR191" i="6"/>
  <c r="DH191" i="6"/>
  <c r="CF191" i="6"/>
  <c r="CF187" i="6"/>
  <c r="CX128" i="6"/>
  <c r="CX129" i="6"/>
  <c r="I130" i="6"/>
  <c r="CA130" i="6"/>
  <c r="CW130" i="6" s="1"/>
  <c r="AI135" i="6"/>
  <c r="BE135" i="6" s="1"/>
  <c r="BH192" i="6"/>
  <c r="CN192" i="6"/>
  <c r="CN197" i="6" s="1"/>
  <c r="CN199" i="6" s="1"/>
  <c r="DJ145" i="6"/>
  <c r="DJ187" i="6" s="1"/>
  <c r="BZ152" i="6"/>
  <c r="DR152" i="6"/>
  <c r="CX152" i="6" s="1"/>
  <c r="CV192" i="6"/>
  <c r="CB156" i="6"/>
  <c r="DR156" i="6"/>
  <c r="CX156" i="6" s="1"/>
  <c r="M161" i="6"/>
  <c r="CA161" i="6" s="1"/>
  <c r="CW161" i="6" s="1"/>
  <c r="BZ161" i="6"/>
  <c r="BF161" i="6" s="1"/>
  <c r="H169" i="6"/>
  <c r="DL116" i="6"/>
  <c r="CR198" i="6"/>
  <c r="DN117" i="6"/>
  <c r="DN198" i="6" s="1"/>
  <c r="CA120" i="6"/>
  <c r="CW120" i="6" s="1"/>
  <c r="BQ187" i="6"/>
  <c r="DG187" i="6"/>
  <c r="BU191" i="6"/>
  <c r="DL191" i="6"/>
  <c r="DB144" i="6"/>
  <c r="DL192" i="6"/>
  <c r="AI145" i="6"/>
  <c r="BE145" i="6" s="1"/>
  <c r="AI166" i="6"/>
  <c r="BE166" i="6" s="1"/>
  <c r="CX173" i="6"/>
  <c r="BF174" i="6"/>
  <c r="DD198" i="6"/>
  <c r="BD198" i="6"/>
  <c r="BO198" i="6"/>
  <c r="BO121" i="6"/>
  <c r="CP198" i="6"/>
  <c r="CP121" i="6"/>
  <c r="DL114" i="6"/>
  <c r="BG187" i="6"/>
  <c r="BR187" i="6"/>
  <c r="DH187" i="6"/>
  <c r="AI125" i="6"/>
  <c r="BE125" i="6" s="1"/>
  <c r="AN191" i="6"/>
  <c r="AN187" i="6"/>
  <c r="AJ126" i="6"/>
  <c r="CA135" i="6"/>
  <c r="CW135" i="6" s="1"/>
  <c r="H135" i="6"/>
  <c r="I135" i="6" s="1"/>
  <c r="H136" i="6"/>
  <c r="CV191" i="6"/>
  <c r="CV187" i="6"/>
  <c r="CB142" i="6"/>
  <c r="DR142" i="6"/>
  <c r="DR191" i="6" s="1"/>
  <c r="DC192" i="6"/>
  <c r="DM192" i="6"/>
  <c r="AN192" i="6"/>
  <c r="BF148" i="6"/>
  <c r="BF152" i="6"/>
  <c r="DB154" i="6"/>
  <c r="DE155" i="6"/>
  <c r="BF158" i="6"/>
  <c r="DQ195" i="6"/>
  <c r="BF171" i="6"/>
  <c r="CA183" i="6"/>
  <c r="CW183" i="6" s="1"/>
  <c r="H183" i="6"/>
  <c r="I183" i="6" s="1"/>
  <c r="BS198" i="6"/>
  <c r="CS198" i="6"/>
  <c r="DE198" i="6"/>
  <c r="DO105" i="6"/>
  <c r="BP198" i="6"/>
  <c r="CC198" i="6"/>
  <c r="CQ198" i="6"/>
  <c r="BW118" i="6"/>
  <c r="BF118" i="6" s="1"/>
  <c r="AA121" i="6"/>
  <c r="AA189" i="6" s="1"/>
  <c r="CQ121" i="6"/>
  <c r="H122" i="6"/>
  <c r="I122" i="6" s="1"/>
  <c r="BH187" i="6"/>
  <c r="CH187" i="6"/>
  <c r="BW196" i="6"/>
  <c r="BW191" i="6"/>
  <c r="DN191" i="6"/>
  <c r="AO191" i="6"/>
  <c r="AO197" i="6" s="1"/>
  <c r="AO199" i="6" s="1"/>
  <c r="AO187" i="6"/>
  <c r="AO189" i="6" s="1"/>
  <c r="AJ127" i="6"/>
  <c r="BF134" i="6"/>
  <c r="BO192" i="6"/>
  <c r="BW192" i="6"/>
  <c r="T187" i="6"/>
  <c r="T192" i="6"/>
  <c r="BM154" i="6"/>
  <c r="BM192" i="6" s="1"/>
  <c r="DE154" i="6"/>
  <c r="DR161" i="6"/>
  <c r="CX161" i="6" s="1"/>
  <c r="H164" i="6"/>
  <c r="I164" i="6" s="1"/>
  <c r="DB172" i="6"/>
  <c r="CX172" i="6" s="1"/>
  <c r="M172" i="6"/>
  <c r="CA172" i="6" s="1"/>
  <c r="CW172" i="6" s="1"/>
  <c r="CX174" i="6"/>
  <c r="BJ140" i="6"/>
  <c r="BF140" i="6" s="1"/>
  <c r="AG191" i="6"/>
  <c r="AG187" i="6"/>
  <c r="BG192" i="6"/>
  <c r="BQ192" i="6"/>
  <c r="DB150" i="6"/>
  <c r="CX150" i="6" s="1"/>
  <c r="DN162" i="6"/>
  <c r="DN192" i="6" s="1"/>
  <c r="Q195" i="6"/>
  <c r="DB170" i="6"/>
  <c r="CX170" i="6" s="1"/>
  <c r="M170" i="6"/>
  <c r="BJ170" i="6"/>
  <c r="CX171" i="6"/>
  <c r="BJ176" i="6"/>
  <c r="BF176" i="6" s="1"/>
  <c r="H181" i="6"/>
  <c r="I181" i="6" s="1"/>
  <c r="CA181" i="6"/>
  <c r="CW181" i="6" s="1"/>
  <c r="BT192" i="6"/>
  <c r="CF192" i="6"/>
  <c r="DH192" i="6"/>
  <c r="M150" i="6"/>
  <c r="I150" i="6" s="1"/>
  <c r="M153" i="6"/>
  <c r="M160" i="6"/>
  <c r="AI173" i="6"/>
  <c r="BE173" i="6" s="1"/>
  <c r="CA186" i="6"/>
  <c r="CW186" i="6" s="1"/>
  <c r="H186" i="6"/>
  <c r="I186" i="6" s="1"/>
  <c r="BL192" i="6"/>
  <c r="CX180" i="6"/>
  <c r="H184" i="6"/>
  <c r="AY198" i="6"/>
  <c r="BU112" i="6"/>
  <c r="BU198" i="6" s="1"/>
  <c r="BM191" i="6"/>
  <c r="BV191" i="6"/>
  <c r="DM191" i="6"/>
  <c r="BV192" i="6"/>
  <c r="DK192" i="6"/>
  <c r="DQ187" i="6"/>
  <c r="DQ189" i="6" s="1"/>
  <c r="DA187" i="6"/>
  <c r="DA192" i="6"/>
  <c r="AZ187" i="6"/>
  <c r="AZ192" i="6"/>
  <c r="DR164" i="6"/>
  <c r="CX164" i="6" s="1"/>
  <c r="BL169" i="6"/>
  <c r="M169" i="6"/>
  <c r="CA175" i="6"/>
  <c r="CW175" i="6" s="1"/>
  <c r="BU182" i="6"/>
  <c r="BU187" i="6" s="1"/>
  <c r="AJ182" i="6"/>
  <c r="AI182" i="6" s="1"/>
  <c r="BE182" i="6" s="1"/>
  <c r="AY187" i="6"/>
  <c r="CX186" i="6"/>
  <c r="BB197" i="6"/>
  <c r="BB199" i="6" s="1"/>
  <c r="CA171" i="6"/>
  <c r="CW171" i="6" s="1"/>
  <c r="H171" i="6"/>
  <c r="I171" i="6" s="1"/>
  <c r="BF181" i="6"/>
  <c r="AE197" i="6"/>
  <c r="AE199" i="6" s="1"/>
  <c r="AW197" i="6"/>
  <c r="AW199" i="6" s="1"/>
  <c r="AF197" i="6"/>
  <c r="AF199" i="6" s="1"/>
  <c r="CS197" i="6"/>
  <c r="W197" i="6"/>
  <c r="W199" i="6" s="1"/>
  <c r="AZ193" i="6"/>
  <c r="AJ184" i="6"/>
  <c r="BV184" i="6"/>
  <c r="BV193" i="6" s="1"/>
  <c r="BZ185" i="6"/>
  <c r="BF185" i="6" s="1"/>
  <c r="Y197" i="6"/>
  <c r="Y199" i="6" s="1"/>
  <c r="CC197" i="6"/>
  <c r="N197" i="6"/>
  <c r="N199" i="6" s="1"/>
  <c r="V197" i="6"/>
  <c r="V199" i="6" s="1"/>
  <c r="AD197" i="6"/>
  <c r="AD199" i="6" s="1"/>
  <c r="BN197" i="6"/>
  <c r="BN199" i="6" s="1"/>
  <c r="BF55" i="6" l="1"/>
  <c r="DE103" i="6"/>
  <c r="CA31" i="6"/>
  <c r="CW31" i="6" s="1"/>
  <c r="CX18" i="6"/>
  <c r="CA160" i="6"/>
  <c r="CW160" i="6" s="1"/>
  <c r="CA108" i="6"/>
  <c r="CW108" i="6" s="1"/>
  <c r="DM196" i="6"/>
  <c r="BS194" i="6"/>
  <c r="BM67" i="6"/>
  <c r="CA111" i="6"/>
  <c r="CW111" i="6" s="1"/>
  <c r="BF170" i="6"/>
  <c r="DM32" i="6"/>
  <c r="DM34" i="6" s="1"/>
  <c r="DN193" i="6"/>
  <c r="BV67" i="6"/>
  <c r="CB32" i="6"/>
  <c r="CA32" i="6" s="1"/>
  <c r="CW32" i="6" s="1"/>
  <c r="CX54" i="6"/>
  <c r="BF160" i="6"/>
  <c r="I83" i="6"/>
  <c r="BY187" i="6"/>
  <c r="BY189" i="6" s="1"/>
  <c r="BZ121" i="6"/>
  <c r="CQ195" i="6"/>
  <c r="CB195" i="6" s="1"/>
  <c r="BV121" i="6"/>
  <c r="BF60" i="6"/>
  <c r="CX160" i="6"/>
  <c r="CX44" i="6"/>
  <c r="DM194" i="6"/>
  <c r="BT34" i="6"/>
  <c r="DK103" i="6"/>
  <c r="CA180" i="6"/>
  <c r="CW180" i="6" s="1"/>
  <c r="CX98" i="6"/>
  <c r="DK196" i="6"/>
  <c r="CX17" i="6"/>
  <c r="BF149" i="6"/>
  <c r="CR197" i="6"/>
  <c r="CR199" i="6" s="1"/>
  <c r="BF17" i="6"/>
  <c r="CA87" i="6"/>
  <c r="CW87" i="6" s="1"/>
  <c r="CA185" i="6"/>
  <c r="CW185" i="6" s="1"/>
  <c r="CH34" i="6"/>
  <c r="CH189" i="6" s="1"/>
  <c r="I87" i="6"/>
  <c r="DD34" i="6"/>
  <c r="CB17" i="6"/>
  <c r="I115" i="6"/>
  <c r="I60" i="6"/>
  <c r="CH193" i="6"/>
  <c r="CH197" i="6" s="1"/>
  <c r="CH199" i="6" s="1"/>
  <c r="DN187" i="6"/>
  <c r="I184" i="6"/>
  <c r="DE187" i="6"/>
  <c r="CB187" i="6"/>
  <c r="DC187" i="6"/>
  <c r="DC189" i="6" s="1"/>
  <c r="DM121" i="6"/>
  <c r="BF117" i="6"/>
  <c r="CZ121" i="6"/>
  <c r="DN67" i="6"/>
  <c r="CX60" i="6"/>
  <c r="BF182" i="6"/>
  <c r="CX159" i="6"/>
  <c r="CA48" i="6"/>
  <c r="CW48" i="6" s="1"/>
  <c r="I134" i="6"/>
  <c r="CA143" i="6"/>
  <c r="CW143" i="6" s="1"/>
  <c r="H7" i="6"/>
  <c r="I7" i="6" s="1"/>
  <c r="DD195" i="6"/>
  <c r="DE34" i="6"/>
  <c r="AI99" i="6"/>
  <c r="BE99" i="6" s="1"/>
  <c r="BD189" i="6"/>
  <c r="BF45" i="6"/>
  <c r="CI34" i="6"/>
  <c r="CI189" i="6" s="1"/>
  <c r="CX84" i="6"/>
  <c r="CA42" i="6"/>
  <c r="CW42" i="6" s="1"/>
  <c r="BF111" i="6"/>
  <c r="AI39" i="6"/>
  <c r="BE39" i="6" s="1"/>
  <c r="BF165" i="6"/>
  <c r="AI144" i="6"/>
  <c r="BE144" i="6" s="1"/>
  <c r="CA134" i="6"/>
  <c r="CW134" i="6" s="1"/>
  <c r="BM196" i="6"/>
  <c r="CX158" i="6"/>
  <c r="H76" i="6"/>
  <c r="I76" i="6" s="1"/>
  <c r="BG121" i="6"/>
  <c r="BG189" i="6" s="1"/>
  <c r="CA117" i="6"/>
  <c r="CW117" i="6" s="1"/>
  <c r="CI193" i="6"/>
  <c r="CI197" i="6" s="1"/>
  <c r="CI199" i="6" s="1"/>
  <c r="I96" i="6"/>
  <c r="CX64" i="6"/>
  <c r="BF64" i="6"/>
  <c r="AI72" i="6"/>
  <c r="BE72" i="6" s="1"/>
  <c r="CB18" i="6"/>
  <c r="H18" i="6" s="1"/>
  <c r="I18" i="6" s="1"/>
  <c r="BZ192" i="6"/>
  <c r="CA176" i="6"/>
  <c r="CW176" i="6" s="1"/>
  <c r="CX96" i="6"/>
  <c r="BF22" i="6"/>
  <c r="I99" i="6"/>
  <c r="AX197" i="6"/>
  <c r="AX199" i="6" s="1"/>
  <c r="AY197" i="6"/>
  <c r="AY199" i="6" s="1"/>
  <c r="CA12" i="6"/>
  <c r="CW12" i="6" s="1"/>
  <c r="H12" i="6"/>
  <c r="I12" i="6" s="1"/>
  <c r="AI184" i="6"/>
  <c r="BE184" i="6" s="1"/>
  <c r="DA189" i="6"/>
  <c r="CP189" i="6"/>
  <c r="BV187" i="6"/>
  <c r="I45" i="6"/>
  <c r="BJ187" i="6"/>
  <c r="I95" i="6"/>
  <c r="DR67" i="6"/>
  <c r="BH193" i="6"/>
  <c r="BF84" i="6"/>
  <c r="AI37" i="6"/>
  <c r="BE37" i="6" s="1"/>
  <c r="CA45" i="6"/>
  <c r="CW45" i="6" s="1"/>
  <c r="I102" i="6"/>
  <c r="DR198" i="6"/>
  <c r="CX116" i="6"/>
  <c r="DL34" i="6"/>
  <c r="BF108" i="6"/>
  <c r="BV194" i="6"/>
  <c r="AI169" i="6"/>
  <c r="BE169" i="6" s="1"/>
  <c r="BX189" i="6"/>
  <c r="AI102" i="6"/>
  <c r="BE102" i="6" s="1"/>
  <c r="CX101" i="6"/>
  <c r="BF71" i="6"/>
  <c r="BU103" i="6"/>
  <c r="DR195" i="6"/>
  <c r="BT198" i="6"/>
  <c r="BU67" i="6"/>
  <c r="BF98" i="6"/>
  <c r="DL195" i="6"/>
  <c r="DK67" i="6"/>
  <c r="I88" i="6"/>
  <c r="CX11" i="6"/>
  <c r="CA33" i="6"/>
  <c r="CW33" i="6" s="1"/>
  <c r="H33" i="6"/>
  <c r="I33" i="6" s="1"/>
  <c r="I114" i="6"/>
  <c r="AJ193" i="6"/>
  <c r="H65" i="6"/>
  <c r="I65" i="6" s="1"/>
  <c r="CA65" i="6"/>
  <c r="CW65" i="6" s="1"/>
  <c r="AI140" i="6"/>
  <c r="BE140" i="6" s="1"/>
  <c r="I140" i="6"/>
  <c r="DR187" i="6"/>
  <c r="CA47" i="6"/>
  <c r="CW47" i="6" s="1"/>
  <c r="I47" i="6"/>
  <c r="CA23" i="6"/>
  <c r="CW23" i="6" s="1"/>
  <c r="DJ192" i="6"/>
  <c r="DJ197" i="6" s="1"/>
  <c r="DJ199" i="6" s="1"/>
  <c r="I173" i="6"/>
  <c r="CX149" i="6"/>
  <c r="DM67" i="6"/>
  <c r="CY189" i="6"/>
  <c r="BU196" i="6"/>
  <c r="BF110" i="6"/>
  <c r="M194" i="6"/>
  <c r="H37" i="6"/>
  <c r="I37" i="6" s="1"/>
  <c r="CA37" i="6"/>
  <c r="CW37" i="6" s="1"/>
  <c r="CF189" i="6"/>
  <c r="Z197" i="6"/>
  <c r="Z199" i="6" s="1"/>
  <c r="AI127" i="6"/>
  <c r="BE127" i="6" s="1"/>
  <c r="I169" i="6"/>
  <c r="AI126" i="6"/>
  <c r="BE126" i="6" s="1"/>
  <c r="CP197" i="6"/>
  <c r="CP199" i="6" s="1"/>
  <c r="CX142" i="6"/>
  <c r="BL187" i="6"/>
  <c r="CY197" i="6"/>
  <c r="CY199" i="6" s="1"/>
  <c r="CQ189" i="6"/>
  <c r="AN189" i="6"/>
  <c r="I127" i="6"/>
  <c r="BL195" i="6"/>
  <c r="CX162" i="6"/>
  <c r="CX145" i="6"/>
  <c r="DR192" i="6"/>
  <c r="DL121" i="6"/>
  <c r="BT121" i="6"/>
  <c r="BT189" i="6" s="1"/>
  <c r="CX108" i="6"/>
  <c r="CX114" i="6"/>
  <c r="CX119" i="6"/>
  <c r="DR121" i="6"/>
  <c r="DM198" i="6"/>
  <c r="BF112" i="6"/>
  <c r="CV189" i="6"/>
  <c r="DR196" i="6"/>
  <c r="AQ197" i="6"/>
  <c r="AQ199" i="6" s="1"/>
  <c r="BY197" i="6"/>
  <c r="BY199" i="6" s="1"/>
  <c r="BS103" i="6"/>
  <c r="BS189" i="6" s="1"/>
  <c r="DJ189" i="6"/>
  <c r="DD103" i="6"/>
  <c r="DP197" i="6"/>
  <c r="DP199" i="6" s="1"/>
  <c r="CB192" i="6"/>
  <c r="BQ197" i="6"/>
  <c r="BQ199" i="6" s="1"/>
  <c r="BZ196" i="6"/>
  <c r="BS196" i="6"/>
  <c r="AI87" i="6"/>
  <c r="BE87" i="6" s="1"/>
  <c r="DB103" i="6"/>
  <c r="BL196" i="6"/>
  <c r="AY189" i="6"/>
  <c r="Q189" i="6"/>
  <c r="DB196" i="6"/>
  <c r="CX99" i="6"/>
  <c r="AI83" i="6"/>
  <c r="BE83" i="6" s="1"/>
  <c r="BF101" i="6"/>
  <c r="CA83" i="6"/>
  <c r="CW83" i="6" s="1"/>
  <c r="BM103" i="6"/>
  <c r="BF62" i="6"/>
  <c r="AI53" i="6"/>
  <c r="BE53" i="6" s="1"/>
  <c r="BD197" i="6"/>
  <c r="BD199" i="6" s="1"/>
  <c r="DG194" i="6"/>
  <c r="DG197" i="6" s="1"/>
  <c r="DG199" i="6" s="1"/>
  <c r="AJ195" i="6"/>
  <c r="CA53" i="6"/>
  <c r="CW53" i="6" s="1"/>
  <c r="BA199" i="6"/>
  <c r="S197" i="6"/>
  <c r="S199" i="6" s="1"/>
  <c r="AJ198" i="6"/>
  <c r="DO197" i="6"/>
  <c r="AI45" i="6"/>
  <c r="BE45" i="6" s="1"/>
  <c r="DK194" i="6"/>
  <c r="BM194" i="6"/>
  <c r="CX48" i="6"/>
  <c r="AZ197" i="6"/>
  <c r="AZ199" i="6" s="1"/>
  <c r="CB196" i="6"/>
  <c r="CX35" i="6"/>
  <c r="BZ194" i="6"/>
  <c r="BF44" i="6"/>
  <c r="T197" i="6"/>
  <c r="T199" i="6" s="1"/>
  <c r="CB194" i="6"/>
  <c r="CA43" i="6"/>
  <c r="CW43" i="6" s="1"/>
  <c r="AJ196" i="6"/>
  <c r="CC199" i="6"/>
  <c r="DA197" i="6"/>
  <c r="DA199" i="6" s="1"/>
  <c r="BW197" i="6"/>
  <c r="CV197" i="6"/>
  <c r="CV199" i="6" s="1"/>
  <c r="BT195" i="6"/>
  <c r="BT197" i="6" s="1"/>
  <c r="AB197" i="6"/>
  <c r="AB199" i="6" s="1"/>
  <c r="BF18" i="6"/>
  <c r="CE197" i="6"/>
  <c r="CE199" i="6" s="1"/>
  <c r="CF197" i="6"/>
  <c r="CF199" i="6" s="1"/>
  <c r="R197" i="6"/>
  <c r="R199" i="6" s="1"/>
  <c r="CQ197" i="6"/>
  <c r="CQ199" i="6" s="1"/>
  <c r="O197" i="6"/>
  <c r="O199" i="6" s="1"/>
  <c r="AJ194" i="6"/>
  <c r="BX197" i="6"/>
  <c r="BX199" i="6" s="1"/>
  <c r="CX32" i="6"/>
  <c r="DH197" i="6"/>
  <c r="DH199" i="6" s="1"/>
  <c r="AP197" i="6"/>
  <c r="AP199" i="6" s="1"/>
  <c r="BF30" i="6"/>
  <c r="BO197" i="6"/>
  <c r="BO199" i="6" s="1"/>
  <c r="CX127" i="6"/>
  <c r="AI147" i="6"/>
  <c r="BE147" i="6" s="1"/>
  <c r="I147" i="6"/>
  <c r="CA147" i="6"/>
  <c r="CW147" i="6" s="1"/>
  <c r="CX46" i="6"/>
  <c r="CA46" i="6"/>
  <c r="CW46" i="6" s="1"/>
  <c r="H46" i="6"/>
  <c r="I46" i="6" s="1"/>
  <c r="DP189" i="6"/>
  <c r="DC191" i="6"/>
  <c r="DC197" i="6" s="1"/>
  <c r="DC199" i="6" s="1"/>
  <c r="AI170" i="6"/>
  <c r="BE170" i="6" s="1"/>
  <c r="I170" i="6"/>
  <c r="CA170" i="6"/>
  <c r="CW170" i="6" s="1"/>
  <c r="BM187" i="6"/>
  <c r="M187" i="6"/>
  <c r="DD187" i="6"/>
  <c r="AI158" i="6"/>
  <c r="BE158" i="6" s="1"/>
  <c r="I158" i="6"/>
  <c r="CA158" i="6"/>
  <c r="CW158" i="6" s="1"/>
  <c r="DE192" i="6"/>
  <c r="I139" i="6"/>
  <c r="CA139" i="6"/>
  <c r="CW139" i="6" s="1"/>
  <c r="DR103" i="6"/>
  <c r="H39" i="6"/>
  <c r="I39" i="6" s="1"/>
  <c r="CA39" i="6"/>
  <c r="CW39" i="6" s="1"/>
  <c r="M193" i="6"/>
  <c r="AI17" i="6"/>
  <c r="BE17" i="6" s="1"/>
  <c r="CA10" i="6"/>
  <c r="CW10" i="6" s="1"/>
  <c r="H10" i="6"/>
  <c r="BL194" i="6"/>
  <c r="BL67" i="6"/>
  <c r="DB191" i="6"/>
  <c r="CX124" i="6"/>
  <c r="BF46" i="6"/>
  <c r="DR34" i="6"/>
  <c r="BV197" i="6"/>
  <c r="BV199" i="6" s="1"/>
  <c r="I160" i="6"/>
  <c r="AI160" i="6"/>
  <c r="BE160" i="6" s="1"/>
  <c r="CX183" i="6"/>
  <c r="I172" i="6"/>
  <c r="AI172" i="6"/>
  <c r="BE172" i="6" s="1"/>
  <c r="AJ192" i="6"/>
  <c r="DB192" i="6"/>
  <c r="CX144" i="6"/>
  <c r="BK192" i="6"/>
  <c r="DL198" i="6"/>
  <c r="H182" i="6"/>
  <c r="I182" i="6" s="1"/>
  <c r="CA182" i="6"/>
  <c r="CW182" i="6" s="1"/>
  <c r="CZ192" i="6"/>
  <c r="CX155" i="6"/>
  <c r="CZ187" i="6"/>
  <c r="BF86" i="6"/>
  <c r="BJ195" i="6"/>
  <c r="AI139" i="6"/>
  <c r="BE139" i="6" s="1"/>
  <c r="DB194" i="6"/>
  <c r="DB67" i="6"/>
  <c r="DB187" i="6"/>
  <c r="CX73" i="6"/>
  <c r="AX189" i="6"/>
  <c r="CZ196" i="6"/>
  <c r="CX78" i="6"/>
  <c r="CZ103" i="6"/>
  <c r="CX39" i="6"/>
  <c r="BZ193" i="6"/>
  <c r="BM34" i="6"/>
  <c r="I98" i="6"/>
  <c r="CA98" i="6"/>
  <c r="CW98" i="6" s="1"/>
  <c r="BL103" i="6"/>
  <c r="DG189" i="6"/>
  <c r="BF11" i="6"/>
  <c r="CA64" i="6"/>
  <c r="CW64" i="6" s="1"/>
  <c r="H64" i="6"/>
  <c r="I64" i="6" s="1"/>
  <c r="Q197" i="6"/>
  <c r="Q199" i="6" s="1"/>
  <c r="AI60" i="6"/>
  <c r="BE60" i="6" s="1"/>
  <c r="BP189" i="6"/>
  <c r="AJ121" i="6"/>
  <c r="AI105" i="6"/>
  <c r="BE105" i="6" s="1"/>
  <c r="I153" i="6"/>
  <c r="CA153" i="6"/>
  <c r="CW153" i="6" s="1"/>
  <c r="CA59" i="6"/>
  <c r="CW59" i="6" s="1"/>
  <c r="I59" i="6"/>
  <c r="BF127" i="6"/>
  <c r="CZ193" i="6"/>
  <c r="CX193" i="6" s="1"/>
  <c r="BZ103" i="6"/>
  <c r="CA54" i="6"/>
  <c r="CW54" i="6" s="1"/>
  <c r="H54" i="6"/>
  <c r="I54" i="6" s="1"/>
  <c r="BZ198" i="6"/>
  <c r="CX22" i="6"/>
  <c r="CA127" i="6"/>
  <c r="CW127" i="6" s="1"/>
  <c r="DB195" i="6"/>
  <c r="DN121" i="6"/>
  <c r="DL67" i="6"/>
  <c r="BZ187" i="6"/>
  <c r="H162" i="6"/>
  <c r="I162" i="6" s="1"/>
  <c r="CA162" i="6"/>
  <c r="CW162" i="6" s="1"/>
  <c r="AI153" i="6"/>
  <c r="BE153" i="6" s="1"/>
  <c r="BF184" i="6"/>
  <c r="AI150" i="6"/>
  <c r="BE150" i="6" s="1"/>
  <c r="DE196" i="6"/>
  <c r="CR189" i="6"/>
  <c r="DD196" i="6"/>
  <c r="CA57" i="6"/>
  <c r="CW57" i="6" s="1"/>
  <c r="H57" i="6"/>
  <c r="I57" i="6" s="1"/>
  <c r="AI96" i="6"/>
  <c r="BE96" i="6" s="1"/>
  <c r="I157" i="6"/>
  <c r="AI157" i="6"/>
  <c r="BE157" i="6" s="1"/>
  <c r="CA71" i="6"/>
  <c r="CW71" i="6" s="1"/>
  <c r="H71" i="6"/>
  <c r="I71" i="6" s="1"/>
  <c r="BJ67" i="6"/>
  <c r="BU121" i="6"/>
  <c r="BF48" i="6"/>
  <c r="H44" i="6"/>
  <c r="I44" i="6" s="1"/>
  <c r="CA44" i="6"/>
  <c r="CW44" i="6" s="1"/>
  <c r="H32" i="6"/>
  <c r="I32" i="6" s="1"/>
  <c r="AZ189" i="6"/>
  <c r="BF16" i="6"/>
  <c r="DH189" i="6"/>
  <c r="BF70" i="6"/>
  <c r="I74" i="6"/>
  <c r="CA74" i="6"/>
  <c r="CW74" i="6" s="1"/>
  <c r="AI74" i="6"/>
  <c r="BE74" i="6" s="1"/>
  <c r="CA60" i="6"/>
  <c r="CW60" i="6" s="1"/>
  <c r="BL34" i="6"/>
  <c r="T189" i="6"/>
  <c r="BU195" i="6"/>
  <c r="BZ67" i="6"/>
  <c r="CA75" i="6"/>
  <c r="CW75" i="6" s="1"/>
  <c r="H75" i="6"/>
  <c r="I75" i="6" s="1"/>
  <c r="BU194" i="6"/>
  <c r="BZ34" i="6"/>
  <c r="I58" i="6"/>
  <c r="AI58" i="6"/>
  <c r="BE58" i="6" s="1"/>
  <c r="CA58" i="6"/>
  <c r="CW58" i="6" s="1"/>
  <c r="CZ67" i="6"/>
  <c r="S189" i="6"/>
  <c r="BH194" i="6"/>
  <c r="BF35" i="6"/>
  <c r="BH67" i="6"/>
  <c r="DR194" i="6"/>
  <c r="DO198" i="6"/>
  <c r="DO121" i="6"/>
  <c r="DO189" i="6" s="1"/>
  <c r="CA106" i="6"/>
  <c r="CW106" i="6" s="1"/>
  <c r="H106" i="6"/>
  <c r="BP197" i="6"/>
  <c r="BP199" i="6" s="1"/>
  <c r="H156" i="6"/>
  <c r="I156" i="6" s="1"/>
  <c r="CA156" i="6"/>
  <c r="CW156" i="6" s="1"/>
  <c r="BK191" i="6"/>
  <c r="CX105" i="6"/>
  <c r="DN194" i="6"/>
  <c r="DN197" i="6" s="1"/>
  <c r="DN199" i="6" s="1"/>
  <c r="BH34" i="6"/>
  <c r="BW198" i="6"/>
  <c r="BW121" i="6"/>
  <c r="BW189" i="6" s="1"/>
  <c r="CB191" i="6"/>
  <c r="BG197" i="6"/>
  <c r="BG199" i="6" s="1"/>
  <c r="AG197" i="6"/>
  <c r="AG199" i="6" s="1"/>
  <c r="CA150" i="6"/>
  <c r="CW150" i="6" s="1"/>
  <c r="M192" i="6"/>
  <c r="BF139" i="6"/>
  <c r="H78" i="6"/>
  <c r="I78" i="6" s="1"/>
  <c r="CA78" i="6"/>
  <c r="CW78" i="6" s="1"/>
  <c r="DE194" i="6"/>
  <c r="DE67" i="6"/>
  <c r="CA92" i="6"/>
  <c r="CW92" i="6" s="1"/>
  <c r="H92" i="6"/>
  <c r="I92" i="6" s="1"/>
  <c r="CA146" i="6"/>
  <c r="CW146" i="6" s="1"/>
  <c r="I146" i="6"/>
  <c r="AI146" i="6"/>
  <c r="BE146" i="6" s="1"/>
  <c r="DD194" i="6"/>
  <c r="DD67" i="6"/>
  <c r="H90" i="6"/>
  <c r="I90" i="6" s="1"/>
  <c r="CA90" i="6"/>
  <c r="CW90" i="6" s="1"/>
  <c r="H159" i="6"/>
  <c r="I159" i="6" s="1"/>
  <c r="CA159" i="6"/>
  <c r="CW159" i="6" s="1"/>
  <c r="BF169" i="6"/>
  <c r="H142" i="6"/>
  <c r="I142" i="6" s="1"/>
  <c r="CA142" i="6"/>
  <c r="CW142" i="6" s="1"/>
  <c r="DM187" i="6"/>
  <c r="DQ197" i="6"/>
  <c r="DQ199" i="6" s="1"/>
  <c r="I136" i="6"/>
  <c r="AI136" i="6"/>
  <c r="BE136" i="6" s="1"/>
  <c r="I55" i="6"/>
  <c r="CA55" i="6"/>
  <c r="CW55" i="6" s="1"/>
  <c r="AI55" i="6"/>
  <c r="BE55" i="6" s="1"/>
  <c r="M34" i="6"/>
  <c r="DL194" i="6"/>
  <c r="DM103" i="6"/>
  <c r="M196" i="6"/>
  <c r="M103" i="6"/>
  <c r="I68" i="6"/>
  <c r="BO67" i="6"/>
  <c r="BO189" i="6" s="1"/>
  <c r="I144" i="6"/>
  <c r="BH103" i="6"/>
  <c r="CA68" i="6"/>
  <c r="CW68" i="6" s="1"/>
  <c r="H36" i="6"/>
  <c r="I36" i="6" s="1"/>
  <c r="CA36" i="6"/>
  <c r="CW36" i="6" s="1"/>
  <c r="CA115" i="6"/>
  <c r="CW115" i="6" s="1"/>
  <c r="CA96" i="6"/>
  <c r="CW96" i="6" s="1"/>
  <c r="CA16" i="6"/>
  <c r="CW16" i="6" s="1"/>
  <c r="I16" i="6"/>
  <c r="AI16" i="6"/>
  <c r="BE16" i="6" s="1"/>
  <c r="BJ191" i="6"/>
  <c r="BF124" i="6"/>
  <c r="CZ194" i="6"/>
  <c r="CZ34" i="6"/>
  <c r="AI98" i="6"/>
  <c r="BE98" i="6" s="1"/>
  <c r="I53" i="6"/>
  <c r="I155" i="6"/>
  <c r="AI155" i="6"/>
  <c r="BE155" i="6" s="1"/>
  <c r="BJ196" i="6"/>
  <c r="I79" i="6"/>
  <c r="AI79" i="6"/>
  <c r="BE79" i="6" s="1"/>
  <c r="I161" i="6"/>
  <c r="AI161" i="6"/>
  <c r="BE161" i="6" s="1"/>
  <c r="BJ192" i="6"/>
  <c r="CA119" i="6"/>
  <c r="CW119" i="6" s="1"/>
  <c r="H119" i="6"/>
  <c r="I119" i="6" s="1"/>
  <c r="M198" i="6"/>
  <c r="M121" i="6"/>
  <c r="I105" i="6"/>
  <c r="H52" i="6"/>
  <c r="I52" i="6" s="1"/>
  <c r="CA52" i="6"/>
  <c r="CW52" i="6" s="1"/>
  <c r="M195" i="6"/>
  <c r="CX117" i="6"/>
  <c r="AQ189" i="6"/>
  <c r="CB121" i="6"/>
  <c r="AP189" i="6"/>
  <c r="AI78" i="6"/>
  <c r="BE78" i="6" s="1"/>
  <c r="CB67" i="6"/>
  <c r="CA35" i="6"/>
  <c r="CW35" i="6" s="1"/>
  <c r="H35" i="6"/>
  <c r="CA62" i="6"/>
  <c r="CW62" i="6" s="1"/>
  <c r="H62" i="6"/>
  <c r="I62" i="6" s="1"/>
  <c r="CA56" i="6"/>
  <c r="CW56" i="6" s="1"/>
  <c r="H56" i="6"/>
  <c r="I56" i="6" s="1"/>
  <c r="AJ103" i="6"/>
  <c r="AI68" i="6"/>
  <c r="BE68" i="6" s="1"/>
  <c r="AI59" i="6"/>
  <c r="BE59" i="6" s="1"/>
  <c r="AG189" i="6"/>
  <c r="BR197" i="6"/>
  <c r="BR199" i="6" s="1"/>
  <c r="BH196" i="6"/>
  <c r="I167" i="6"/>
  <c r="CA167" i="6"/>
  <c r="CW167" i="6" s="1"/>
  <c r="AI167" i="6"/>
  <c r="BE167" i="6" s="1"/>
  <c r="BF154" i="6"/>
  <c r="I163" i="6"/>
  <c r="CA163" i="6"/>
  <c r="CW163" i="6" s="1"/>
  <c r="AI163" i="6"/>
  <c r="BE163" i="6" s="1"/>
  <c r="BR189" i="6"/>
  <c r="DF194" i="6"/>
  <c r="DF197" i="6" s="1"/>
  <c r="DF199" i="6" s="1"/>
  <c r="DF67" i="6"/>
  <c r="DF189" i="6" s="1"/>
  <c r="BJ194" i="6"/>
  <c r="AJ34" i="6"/>
  <c r="H82" i="6"/>
  <c r="I82" i="6" s="1"/>
  <c r="CA82" i="6"/>
  <c r="CW82" i="6" s="1"/>
  <c r="CS199" i="6"/>
  <c r="CB198" i="6"/>
  <c r="CX154" i="6"/>
  <c r="AN197" i="6"/>
  <c r="AN199" i="6" s="1"/>
  <c r="AJ191" i="6"/>
  <c r="CA169" i="6"/>
  <c r="CW169" i="6" s="1"/>
  <c r="AJ187" i="6"/>
  <c r="AI122" i="6"/>
  <c r="BE122" i="6" s="1"/>
  <c r="I151" i="6"/>
  <c r="CA151" i="6"/>
  <c r="CW151" i="6" s="1"/>
  <c r="I149" i="6"/>
  <c r="AI149" i="6"/>
  <c r="BE149" i="6" s="1"/>
  <c r="CX63" i="6"/>
  <c r="BJ103" i="6"/>
  <c r="H63" i="6"/>
  <c r="I63" i="6" s="1"/>
  <c r="CA63" i="6"/>
  <c r="CW63" i="6" s="1"/>
  <c r="CA126" i="6"/>
  <c r="CW126" i="6" s="1"/>
  <c r="I126" i="6"/>
  <c r="BF105" i="6"/>
  <c r="CB103" i="6"/>
  <c r="I81" i="6"/>
  <c r="AI43" i="6"/>
  <c r="BE43" i="6" s="1"/>
  <c r="AI115" i="6"/>
  <c r="BE115" i="6" s="1"/>
  <c r="BF122" i="6"/>
  <c r="AI84" i="6"/>
  <c r="BE84" i="6" s="1"/>
  <c r="I84" i="6"/>
  <c r="CA84" i="6"/>
  <c r="CW84" i="6" s="1"/>
  <c r="AB189" i="6"/>
  <c r="O189" i="6"/>
  <c r="M191" i="6"/>
  <c r="AI124" i="6"/>
  <c r="BE124" i="6" s="1"/>
  <c r="I124" i="6"/>
  <c r="CA124" i="6"/>
  <c r="CW124" i="6" s="1"/>
  <c r="M67" i="6"/>
  <c r="BQ189" i="6"/>
  <c r="AJ67" i="6"/>
  <c r="AI35" i="6"/>
  <c r="BE35" i="6" s="1"/>
  <c r="CA17" i="6"/>
  <c r="CW17" i="6" s="1"/>
  <c r="H17" i="6"/>
  <c r="I17" i="6" s="1"/>
  <c r="CA157" i="6"/>
  <c r="CW157" i="6" s="1"/>
  <c r="DM195" i="6" l="1"/>
  <c r="DM197" i="6" s="1"/>
  <c r="DM199" i="6" s="1"/>
  <c r="BS197" i="6"/>
  <c r="BS199" i="6" s="1"/>
  <c r="DK197" i="6"/>
  <c r="DK199" i="6" s="1"/>
  <c r="CA187" i="6"/>
  <c r="CW187" i="6" s="1"/>
  <c r="DE189" i="6"/>
  <c r="DN189" i="6"/>
  <c r="BF103" i="6"/>
  <c r="DK189" i="6"/>
  <c r="CA18" i="6"/>
  <c r="CW18" i="6" s="1"/>
  <c r="BV189" i="6"/>
  <c r="DL189" i="6"/>
  <c r="AI195" i="6"/>
  <c r="BE195" i="6" s="1"/>
  <c r="BF193" i="6"/>
  <c r="CB193" i="6"/>
  <c r="CA193" i="6" s="1"/>
  <c r="CW193" i="6" s="1"/>
  <c r="BM197" i="6"/>
  <c r="BM199" i="6" s="1"/>
  <c r="CX34" i="6"/>
  <c r="CA121" i="6"/>
  <c r="CW121" i="6" s="1"/>
  <c r="CB34" i="6"/>
  <c r="CB189" i="6" s="1"/>
  <c r="BU189" i="6"/>
  <c r="BT199" i="6"/>
  <c r="DB189" i="6"/>
  <c r="I193" i="6"/>
  <c r="BF121" i="6"/>
  <c r="AI193" i="6"/>
  <c r="BE193" i="6" s="1"/>
  <c r="DL197" i="6"/>
  <c r="DL199" i="6" s="1"/>
  <c r="CA194" i="6"/>
  <c r="CW194" i="6" s="1"/>
  <c r="AI67" i="6"/>
  <c r="BE67" i="6" s="1"/>
  <c r="AI194" i="6"/>
  <c r="BE194" i="6" s="1"/>
  <c r="CZ189" i="6"/>
  <c r="AI198" i="6"/>
  <c r="BE198" i="6" s="1"/>
  <c r="BF192" i="6"/>
  <c r="DR197" i="6"/>
  <c r="DR199" i="6" s="1"/>
  <c r="AI187" i="6"/>
  <c r="BE187" i="6" s="1"/>
  <c r="DM189" i="6"/>
  <c r="CA192" i="6"/>
  <c r="CW192" i="6" s="1"/>
  <c r="BL197" i="6"/>
  <c r="BL199" i="6" s="1"/>
  <c r="CX187" i="6"/>
  <c r="CX121" i="6"/>
  <c r="DO199" i="6"/>
  <c r="CA103" i="6"/>
  <c r="CW103" i="6" s="1"/>
  <c r="DD189" i="6"/>
  <c r="AI103" i="6"/>
  <c r="BE103" i="6" s="1"/>
  <c r="CX103" i="6"/>
  <c r="BM189" i="6"/>
  <c r="DD197" i="6"/>
  <c r="DD199" i="6" s="1"/>
  <c r="AI196" i="6"/>
  <c r="BE196" i="6" s="1"/>
  <c r="CX67" i="6"/>
  <c r="CA195" i="6"/>
  <c r="CW195" i="6" s="1"/>
  <c r="BJ189" i="6"/>
  <c r="BU197" i="6"/>
  <c r="BU199" i="6" s="1"/>
  <c r="BF34" i="6"/>
  <c r="CX198" i="6"/>
  <c r="BF191" i="6"/>
  <c r="BW199" i="6"/>
  <c r="BF194" i="6"/>
  <c r="BZ197" i="6"/>
  <c r="BZ199" i="6" s="1"/>
  <c r="BF196" i="6"/>
  <c r="CA196" i="6"/>
  <c r="CW196" i="6" s="1"/>
  <c r="I10" i="6"/>
  <c r="H195" i="6"/>
  <c r="H34" i="6"/>
  <c r="I192" i="6"/>
  <c r="CX196" i="6"/>
  <c r="BF198" i="6"/>
  <c r="H192" i="6"/>
  <c r="CA191" i="6"/>
  <c r="CW191" i="6" s="1"/>
  <c r="BK197" i="6"/>
  <c r="BK199" i="6" s="1"/>
  <c r="H191" i="6"/>
  <c r="AJ197" i="6"/>
  <c r="AI191" i="6"/>
  <c r="BE191" i="6" s="1"/>
  <c r="AJ189" i="6"/>
  <c r="AI34" i="6"/>
  <c r="BE34" i="6" s="1"/>
  <c r="CX194" i="6"/>
  <c r="DB197" i="6"/>
  <c r="DB199" i="6" s="1"/>
  <c r="CX191" i="6"/>
  <c r="H193" i="6"/>
  <c r="M189" i="6"/>
  <c r="BH189" i="6"/>
  <c r="BL189" i="6"/>
  <c r="H196" i="6"/>
  <c r="CA198" i="6"/>
  <c r="CW198" i="6" s="1"/>
  <c r="BH197" i="6"/>
  <c r="BH199" i="6" s="1"/>
  <c r="BF195" i="6"/>
  <c r="I191" i="6"/>
  <c r="H103" i="6"/>
  <c r="M197" i="6"/>
  <c r="M199" i="6" s="1"/>
  <c r="F191" i="6"/>
  <c r="BF187" i="6"/>
  <c r="CA67" i="6"/>
  <c r="CW67" i="6" s="1"/>
  <c r="BJ197" i="6"/>
  <c r="BJ199" i="6" s="1"/>
  <c r="I196" i="6"/>
  <c r="I103" i="6"/>
  <c r="BF67" i="6"/>
  <c r="BZ189" i="6"/>
  <c r="CZ197" i="6"/>
  <c r="CZ199" i="6" s="1"/>
  <c r="CX192" i="6"/>
  <c r="AI192" i="6"/>
  <c r="BE192" i="6" s="1"/>
  <c r="H194" i="6"/>
  <c r="H67" i="6"/>
  <c r="I35" i="6"/>
  <c r="I187" i="6"/>
  <c r="I106" i="6"/>
  <c r="I198" i="6" s="1"/>
  <c r="H198" i="6"/>
  <c r="H121" i="6"/>
  <c r="AI121" i="6"/>
  <c r="BE121" i="6" s="1"/>
  <c r="H187" i="6"/>
  <c r="DR189" i="6"/>
  <c r="DE197" i="6"/>
  <c r="DE199" i="6" s="1"/>
  <c r="CB197" i="6" l="1"/>
  <c r="CX195" i="6"/>
  <c r="CA34" i="6"/>
  <c r="CW34" i="6" s="1"/>
  <c r="BF189" i="6"/>
  <c r="CX189" i="6"/>
  <c r="BF197" i="6"/>
  <c r="BF199" i="6" s="1"/>
  <c r="AI189" i="6"/>
  <c r="BE189" i="6" s="1"/>
  <c r="CB199" i="6"/>
  <c r="CA197" i="6"/>
  <c r="CW197" i="6" s="1"/>
  <c r="I121" i="6"/>
  <c r="AJ199" i="6"/>
  <c r="AI197" i="6"/>
  <c r="BE197" i="6" s="1"/>
  <c r="CX197" i="6"/>
  <c r="CX199" i="6" s="1"/>
  <c r="H189" i="6"/>
  <c r="CA189" i="6"/>
  <c r="CW189" i="6" s="1"/>
  <c r="I195" i="6"/>
  <c r="I34" i="6"/>
  <c r="H197" i="6"/>
  <c r="H199" i="6" s="1"/>
  <c r="I194" i="6"/>
  <c r="I67" i="6"/>
  <c r="I197" i="6" l="1"/>
  <c r="I199" i="6" s="1"/>
  <c r="AI199" i="6"/>
  <c r="BE199" i="6" s="1"/>
  <c r="I189" i="6"/>
  <c r="CA199" i="6"/>
  <c r="CW199" i="6" s="1"/>
  <c r="DQ198" i="5" l="1"/>
  <c r="DI198" i="5"/>
  <c r="DF198" i="5"/>
  <c r="DC198" i="5"/>
  <c r="CU198" i="5"/>
  <c r="CT198" i="5"/>
  <c r="CO198" i="5"/>
  <c r="CN198" i="5"/>
  <c r="CM198" i="5"/>
  <c r="CL198" i="5"/>
  <c r="CK198" i="5"/>
  <c r="CJ198" i="5"/>
  <c r="CI198" i="5"/>
  <c r="CH198" i="5"/>
  <c r="CG198" i="5"/>
  <c r="CF198" i="5"/>
  <c r="CE198" i="5"/>
  <c r="CD198" i="5"/>
  <c r="BX198" i="5"/>
  <c r="BN198" i="5"/>
  <c r="BK198" i="5"/>
  <c r="BI198" i="5"/>
  <c r="BC198" i="5"/>
  <c r="BB198" i="5"/>
  <c r="AW198" i="5"/>
  <c r="AV198" i="5"/>
  <c r="AU198" i="5"/>
  <c r="AT198" i="5"/>
  <c r="AS198" i="5"/>
  <c r="AR198" i="5"/>
  <c r="AQ198" i="5"/>
  <c r="AP198" i="5"/>
  <c r="AO198" i="5"/>
  <c r="AN198" i="5"/>
  <c r="AM198" i="5"/>
  <c r="AL198" i="5"/>
  <c r="AF198" i="5"/>
  <c r="AE198" i="5"/>
  <c r="AD198" i="5"/>
  <c r="AC198" i="5"/>
  <c r="AB198" i="5"/>
  <c r="Z198" i="5"/>
  <c r="Y198" i="5"/>
  <c r="X198" i="5"/>
  <c r="W198" i="5"/>
  <c r="V198" i="5"/>
  <c r="U198" i="5"/>
  <c r="T198" i="5"/>
  <c r="S198" i="5"/>
  <c r="R198" i="5"/>
  <c r="Q198" i="5"/>
  <c r="P198" i="5"/>
  <c r="N198" i="5"/>
  <c r="G198" i="5"/>
  <c r="AM197" i="5"/>
  <c r="AM199" i="5" s="1"/>
  <c r="AH197" i="5"/>
  <c r="AH199" i="5" s="1"/>
  <c r="DQ196" i="5"/>
  <c r="DI196" i="5"/>
  <c r="DF196" i="5"/>
  <c r="CY196" i="5"/>
  <c r="CU196" i="5"/>
  <c r="CT196" i="5"/>
  <c r="CS196" i="5"/>
  <c r="CR196" i="5"/>
  <c r="CP196" i="5"/>
  <c r="CN196" i="5"/>
  <c r="CM196" i="5"/>
  <c r="CL196" i="5"/>
  <c r="CK196" i="5"/>
  <c r="CJ196" i="5"/>
  <c r="CG196" i="5"/>
  <c r="CE196" i="5"/>
  <c r="CD196" i="5"/>
  <c r="CC196" i="5"/>
  <c r="BY196" i="5"/>
  <c r="BN196" i="5"/>
  <c r="BI196" i="5"/>
  <c r="BC196" i="5"/>
  <c r="BB196" i="5"/>
  <c r="BA196" i="5"/>
  <c r="AZ196" i="5"/>
  <c r="AX196" i="5"/>
  <c r="AV196" i="5"/>
  <c r="AU196" i="5"/>
  <c r="AT196" i="5"/>
  <c r="AS196" i="5"/>
  <c r="AR196" i="5"/>
  <c r="AO196" i="5"/>
  <c r="AM196" i="5"/>
  <c r="AL196" i="5"/>
  <c r="AK196" i="5"/>
  <c r="AF196" i="5"/>
  <c r="AE196" i="5"/>
  <c r="AD196" i="5"/>
  <c r="AC196" i="5"/>
  <c r="AA196" i="5"/>
  <c r="Y196" i="5"/>
  <c r="X196" i="5"/>
  <c r="W196" i="5"/>
  <c r="V196" i="5"/>
  <c r="U196" i="5"/>
  <c r="R196" i="5"/>
  <c r="P196" i="5"/>
  <c r="N196" i="5"/>
  <c r="G196" i="5"/>
  <c r="DI195" i="5"/>
  <c r="DF195" i="5"/>
  <c r="DA195" i="5"/>
  <c r="CU195" i="5"/>
  <c r="CT195" i="5"/>
  <c r="CS195" i="5"/>
  <c r="CO195" i="5"/>
  <c r="CN195" i="5"/>
  <c r="CM195" i="5"/>
  <c r="CL195" i="5"/>
  <c r="CK195" i="5"/>
  <c r="CJ195" i="5"/>
  <c r="CI195" i="5"/>
  <c r="CG195" i="5"/>
  <c r="CF195" i="5"/>
  <c r="CE195" i="5"/>
  <c r="CD195" i="5"/>
  <c r="CC195" i="5"/>
  <c r="BN195" i="5"/>
  <c r="BI195" i="5"/>
  <c r="BC195" i="5"/>
  <c r="BB195" i="5"/>
  <c r="BA195" i="5"/>
  <c r="AW195" i="5"/>
  <c r="AV195" i="5"/>
  <c r="AU195" i="5"/>
  <c r="AT195" i="5"/>
  <c r="AS195" i="5"/>
  <c r="AR195" i="5"/>
  <c r="AQ195" i="5"/>
  <c r="AO195" i="5"/>
  <c r="AN195" i="5"/>
  <c r="AM195" i="5"/>
  <c r="AL195" i="5"/>
  <c r="AK195" i="5"/>
  <c r="AF195" i="5"/>
  <c r="AE195" i="5"/>
  <c r="AD195" i="5"/>
  <c r="AC195" i="5"/>
  <c r="AA195" i="5"/>
  <c r="Z195" i="5"/>
  <c r="Y195" i="5"/>
  <c r="X195" i="5"/>
  <c r="W195" i="5"/>
  <c r="V195" i="5"/>
  <c r="U195" i="5"/>
  <c r="T195" i="5"/>
  <c r="R195" i="5"/>
  <c r="P195" i="5"/>
  <c r="O195" i="5"/>
  <c r="N195" i="5"/>
  <c r="G195" i="5"/>
  <c r="DQ194" i="5"/>
  <c r="DI194" i="5"/>
  <c r="DC194" i="5"/>
  <c r="CY194" i="5"/>
  <c r="CU194" i="5"/>
  <c r="CS194" i="5"/>
  <c r="CN194" i="5"/>
  <c r="CM194" i="5"/>
  <c r="CL194" i="5"/>
  <c r="CG194" i="5"/>
  <c r="CC194" i="5"/>
  <c r="BK194" i="5"/>
  <c r="BC194" i="5"/>
  <c r="BA194" i="5"/>
  <c r="AV194" i="5"/>
  <c r="AU194" i="5"/>
  <c r="AT194" i="5"/>
  <c r="AO194" i="5"/>
  <c r="AM194" i="5"/>
  <c r="AK194" i="5"/>
  <c r="AF194" i="5"/>
  <c r="AE194" i="5"/>
  <c r="AD194" i="5"/>
  <c r="Y194" i="5"/>
  <c r="X194" i="5"/>
  <c r="W194" i="5"/>
  <c r="W197" i="5" s="1"/>
  <c r="W199" i="5" s="1"/>
  <c r="V194" i="5"/>
  <c r="U194" i="5"/>
  <c r="R194" i="5"/>
  <c r="P194" i="5"/>
  <c r="N194" i="5"/>
  <c r="G194" i="5"/>
  <c r="G197" i="5" s="1"/>
  <c r="G199" i="5" s="1"/>
  <c r="DI193" i="5"/>
  <c r="DF193" i="5"/>
  <c r="DA193" i="5"/>
  <c r="CU193" i="5"/>
  <c r="CT193" i="5"/>
  <c r="CS193" i="5"/>
  <c r="CQ193" i="5"/>
  <c r="CP193" i="5"/>
  <c r="CO193" i="5"/>
  <c r="CN193" i="5"/>
  <c r="CM193" i="5"/>
  <c r="CL193" i="5"/>
  <c r="CK193" i="5"/>
  <c r="CJ193" i="5"/>
  <c r="CG193" i="5"/>
  <c r="CF193" i="5"/>
  <c r="CE193" i="5"/>
  <c r="CD193" i="5"/>
  <c r="CC193" i="5"/>
  <c r="BY193" i="5"/>
  <c r="BX193" i="5"/>
  <c r="BN193" i="5"/>
  <c r="BI193" i="5"/>
  <c r="BC193" i="5"/>
  <c r="BB193" i="5"/>
  <c r="BA193" i="5"/>
  <c r="AY193" i="5"/>
  <c r="AX193" i="5"/>
  <c r="AW193" i="5"/>
  <c r="AV193" i="5"/>
  <c r="AU193" i="5"/>
  <c r="AT193" i="5"/>
  <c r="AS193" i="5"/>
  <c r="AR193" i="5"/>
  <c r="AO193" i="5"/>
  <c r="AN193" i="5"/>
  <c r="AM193" i="5"/>
  <c r="AL193" i="5"/>
  <c r="AK193" i="5"/>
  <c r="AF193" i="5"/>
  <c r="AE193" i="5"/>
  <c r="AD193" i="5"/>
  <c r="AB193" i="5"/>
  <c r="AA193" i="5"/>
  <c r="Z193" i="5"/>
  <c r="Y193" i="5"/>
  <c r="X193" i="5"/>
  <c r="W193" i="5"/>
  <c r="V193" i="5"/>
  <c r="U193" i="5"/>
  <c r="S193" i="5"/>
  <c r="R193" i="5"/>
  <c r="Q193" i="5"/>
  <c r="P193" i="5"/>
  <c r="N193" i="5"/>
  <c r="G193" i="5"/>
  <c r="DI192" i="5"/>
  <c r="DF192" i="5"/>
  <c r="CY192" i="5"/>
  <c r="CU192" i="5"/>
  <c r="CT192" i="5"/>
  <c r="CS192" i="5"/>
  <c r="CQ192" i="5"/>
  <c r="CP192" i="5"/>
  <c r="CO192" i="5"/>
  <c r="CM192" i="5"/>
  <c r="CL192" i="5"/>
  <c r="CK192" i="5"/>
  <c r="CJ192" i="5"/>
  <c r="CI192" i="5"/>
  <c r="CG192" i="5"/>
  <c r="CE192" i="5"/>
  <c r="CD192" i="5"/>
  <c r="CC192" i="5"/>
  <c r="BX192" i="5"/>
  <c r="BN192" i="5"/>
  <c r="BI192" i="5"/>
  <c r="BB192" i="5"/>
  <c r="BA192" i="5"/>
  <c r="AY192" i="5"/>
  <c r="AX192" i="5"/>
  <c r="AW192" i="5"/>
  <c r="AU192" i="5"/>
  <c r="AT192" i="5"/>
  <c r="AS192" i="5"/>
  <c r="AR192" i="5"/>
  <c r="AQ192" i="5"/>
  <c r="AO192" i="5"/>
  <c r="AM192" i="5"/>
  <c r="AL192" i="5"/>
  <c r="AK192" i="5"/>
  <c r="AF192" i="5"/>
  <c r="AE192" i="5"/>
  <c r="AD192" i="5"/>
  <c r="AC192" i="5"/>
  <c r="AB192" i="5"/>
  <c r="AA192" i="5"/>
  <c r="Z192" i="5"/>
  <c r="Y192" i="5"/>
  <c r="X192" i="5"/>
  <c r="W192" i="5"/>
  <c r="V192" i="5"/>
  <c r="U192" i="5"/>
  <c r="S192" i="5"/>
  <c r="P192" i="5"/>
  <c r="N192" i="5"/>
  <c r="G192" i="5"/>
  <c r="DQ191" i="5"/>
  <c r="DF191" i="5"/>
  <c r="DA191" i="5"/>
  <c r="CZ191" i="5"/>
  <c r="CY191" i="5"/>
  <c r="CU191" i="5"/>
  <c r="CU197" i="5" s="1"/>
  <c r="CU199" i="5" s="1"/>
  <c r="CT191" i="5"/>
  <c r="CS191" i="5"/>
  <c r="CR191" i="5"/>
  <c r="CQ191" i="5"/>
  <c r="CP191" i="5"/>
  <c r="CO191" i="5"/>
  <c r="CN191" i="5"/>
  <c r="CM191" i="5"/>
  <c r="CL191" i="5"/>
  <c r="CL197" i="5" s="1"/>
  <c r="CL199" i="5" s="1"/>
  <c r="CK191" i="5"/>
  <c r="CJ191" i="5"/>
  <c r="CI191" i="5"/>
  <c r="CH191" i="5"/>
  <c r="CE191" i="5"/>
  <c r="CD191" i="5"/>
  <c r="CC191" i="5"/>
  <c r="BN191" i="5"/>
  <c r="BI191" i="5"/>
  <c r="BG191" i="5"/>
  <c r="BC191" i="5"/>
  <c r="BB191" i="5"/>
  <c r="BA191" i="5"/>
  <c r="AZ191" i="5"/>
  <c r="AY191" i="5"/>
  <c r="AX191" i="5"/>
  <c r="AW191" i="5"/>
  <c r="AV191" i="5"/>
  <c r="AU191" i="5"/>
  <c r="AU197" i="5" s="1"/>
  <c r="AU199" i="5" s="1"/>
  <c r="AT191" i="5"/>
  <c r="AT197" i="5" s="1"/>
  <c r="AT199" i="5" s="1"/>
  <c r="AS191" i="5"/>
  <c r="AR191" i="5"/>
  <c r="AQ191" i="5"/>
  <c r="AP191" i="5"/>
  <c r="AM191" i="5"/>
  <c r="AL191" i="5"/>
  <c r="AK191" i="5"/>
  <c r="AF191" i="5"/>
  <c r="AE191" i="5"/>
  <c r="AE197" i="5" s="1"/>
  <c r="AE199" i="5" s="1"/>
  <c r="AD191" i="5"/>
  <c r="AD197" i="5" s="1"/>
  <c r="AD199" i="5" s="1"/>
  <c r="AC191" i="5"/>
  <c r="AB191" i="5"/>
  <c r="AA191" i="5"/>
  <c r="Z191" i="5"/>
  <c r="Y191" i="5"/>
  <c r="Y197" i="5" s="1"/>
  <c r="Y199" i="5" s="1"/>
  <c r="X191" i="5"/>
  <c r="W191" i="5"/>
  <c r="V191" i="5"/>
  <c r="V197" i="5" s="1"/>
  <c r="V199" i="5" s="1"/>
  <c r="U191" i="5"/>
  <c r="T191" i="5"/>
  <c r="P191" i="5"/>
  <c r="P197" i="5" s="1"/>
  <c r="P199" i="5" s="1"/>
  <c r="O191" i="5"/>
  <c r="N191" i="5"/>
  <c r="N197" i="5" s="1"/>
  <c r="N199" i="5" s="1"/>
  <c r="G191" i="5"/>
  <c r="CM189" i="5"/>
  <c r="DF187" i="5"/>
  <c r="CY187" i="5"/>
  <c r="CU187" i="5"/>
  <c r="CT187" i="5"/>
  <c r="CS187" i="5"/>
  <c r="CP187" i="5"/>
  <c r="CO187" i="5"/>
  <c r="CM187" i="5"/>
  <c r="CL187" i="5"/>
  <c r="CK187" i="5"/>
  <c r="CJ187" i="5"/>
  <c r="CI187" i="5"/>
  <c r="CD187" i="5"/>
  <c r="CC187" i="5"/>
  <c r="BN187" i="5"/>
  <c r="BB187" i="5"/>
  <c r="BA187" i="5"/>
  <c r="AX187" i="5"/>
  <c r="AW187" i="5"/>
  <c r="AU187" i="5"/>
  <c r="AT187" i="5"/>
  <c r="AS187" i="5"/>
  <c r="AR187" i="5"/>
  <c r="AQ187" i="5"/>
  <c r="AL187" i="5"/>
  <c r="AK187" i="5"/>
  <c r="AF187" i="5"/>
  <c r="AE187" i="5"/>
  <c r="AD187" i="5"/>
  <c r="AC187" i="5"/>
  <c r="AB187" i="5"/>
  <c r="AA187" i="5"/>
  <c r="Z187" i="5"/>
  <c r="Y187" i="5"/>
  <c r="X187" i="5"/>
  <c r="W187" i="5"/>
  <c r="V187" i="5"/>
  <c r="U187" i="5"/>
  <c r="T187" i="5"/>
  <c r="P187" i="5"/>
  <c r="N187" i="5"/>
  <c r="G187" i="5"/>
  <c r="DR186" i="5"/>
  <c r="DQ186" i="5"/>
  <c r="DP186" i="5"/>
  <c r="DO186" i="5"/>
  <c r="DN186" i="5"/>
  <c r="DM186" i="5"/>
  <c r="DL186" i="5"/>
  <c r="DK186" i="5"/>
  <c r="DJ186" i="5"/>
  <c r="DH186" i="5"/>
  <c r="DG186" i="5"/>
  <c r="DE186" i="5"/>
  <c r="DD186" i="5"/>
  <c r="DC186" i="5"/>
  <c r="CB186" i="5"/>
  <c r="BZ186" i="5"/>
  <c r="BW186" i="5"/>
  <c r="BV186" i="5"/>
  <c r="BU186" i="5"/>
  <c r="BT186" i="5"/>
  <c r="BS186" i="5"/>
  <c r="BR186" i="5"/>
  <c r="BQ186" i="5"/>
  <c r="BP186" i="5"/>
  <c r="BO186" i="5"/>
  <c r="BM186" i="5"/>
  <c r="BL186" i="5"/>
  <c r="BK186" i="5"/>
  <c r="BJ186" i="5"/>
  <c r="BH186" i="5"/>
  <c r="BG186" i="5"/>
  <c r="AJ186" i="5"/>
  <c r="Q186" i="5"/>
  <c r="DB186" i="5" s="1"/>
  <c r="M186" i="5"/>
  <c r="H186" i="5"/>
  <c r="DQ185" i="5"/>
  <c r="DP185" i="5"/>
  <c r="DO185" i="5"/>
  <c r="DN185" i="5"/>
  <c r="DM185" i="5"/>
  <c r="DL185" i="5"/>
  <c r="DK185" i="5"/>
  <c r="DJ185" i="5"/>
  <c r="DH185" i="5"/>
  <c r="DG185" i="5"/>
  <c r="DE185" i="5"/>
  <c r="DD185" i="5"/>
  <c r="DC185" i="5"/>
  <c r="DB185" i="5"/>
  <c r="CV185" i="5"/>
  <c r="CB185" i="5"/>
  <c r="BW185" i="5"/>
  <c r="BV185" i="5"/>
  <c r="BU185" i="5"/>
  <c r="BT185" i="5"/>
  <c r="BS185" i="5"/>
  <c r="BR185" i="5"/>
  <c r="BQ185" i="5"/>
  <c r="BP185" i="5"/>
  <c r="BO185" i="5"/>
  <c r="BM185" i="5"/>
  <c r="BL185" i="5"/>
  <c r="BK185" i="5"/>
  <c r="BJ185" i="5"/>
  <c r="BH185" i="5"/>
  <c r="BG185" i="5"/>
  <c r="BD185" i="5"/>
  <c r="AJ185" i="5" s="1"/>
  <c r="AG185" i="5"/>
  <c r="M185" i="5" s="1"/>
  <c r="DR184" i="5"/>
  <c r="DQ184" i="5"/>
  <c r="DQ193" i="5" s="1"/>
  <c r="DP184" i="5"/>
  <c r="DO184" i="5"/>
  <c r="DM184" i="5"/>
  <c r="DL184" i="5"/>
  <c r="DK184" i="5"/>
  <c r="DJ184" i="5"/>
  <c r="DH184" i="5"/>
  <c r="DG184" i="5"/>
  <c r="DE184" i="5"/>
  <c r="DD184" i="5"/>
  <c r="DC184" i="5"/>
  <c r="DB184" i="5"/>
  <c r="CR184" i="5"/>
  <c r="CR193" i="5" s="1"/>
  <c r="CB184" i="5"/>
  <c r="CA184" i="5" s="1"/>
  <c r="CW184" i="5" s="1"/>
  <c r="BZ184" i="5"/>
  <c r="BW184" i="5"/>
  <c r="BU184" i="5"/>
  <c r="BT184" i="5"/>
  <c r="BS184" i="5"/>
  <c r="BR184" i="5"/>
  <c r="BQ184" i="5"/>
  <c r="BP184" i="5"/>
  <c r="BO184" i="5"/>
  <c r="BM184" i="5"/>
  <c r="BL184" i="5"/>
  <c r="BK184" i="5"/>
  <c r="BK193" i="5" s="1"/>
  <c r="BJ184" i="5"/>
  <c r="BH184" i="5"/>
  <c r="BG184" i="5"/>
  <c r="AZ184" i="5"/>
  <c r="AZ193" i="5" s="1"/>
  <c r="AC184" i="5"/>
  <c r="AC193" i="5" s="1"/>
  <c r="M184" i="5"/>
  <c r="DR183" i="5"/>
  <c r="DQ183" i="5"/>
  <c r="DP183" i="5"/>
  <c r="DO183" i="5"/>
  <c r="DN183" i="5"/>
  <c r="DM183" i="5"/>
  <c r="DL183" i="5"/>
  <c r="DK183" i="5"/>
  <c r="DJ183" i="5"/>
  <c r="DH183" i="5"/>
  <c r="DG183" i="5"/>
  <c r="DE183" i="5"/>
  <c r="DC183" i="5"/>
  <c r="DB183" i="5"/>
  <c r="CB183" i="5"/>
  <c r="BZ183" i="5"/>
  <c r="BW183" i="5"/>
  <c r="BV183" i="5"/>
  <c r="BU183" i="5"/>
  <c r="BT183" i="5"/>
  <c r="BS183" i="5"/>
  <c r="BR183" i="5"/>
  <c r="BQ183" i="5"/>
  <c r="BP183" i="5"/>
  <c r="BO183" i="5"/>
  <c r="BM183" i="5"/>
  <c r="BK183" i="5"/>
  <c r="BJ183" i="5"/>
  <c r="BH183" i="5"/>
  <c r="BG183" i="5"/>
  <c r="AJ183" i="5"/>
  <c r="S183" i="5"/>
  <c r="M183" i="5" s="1"/>
  <c r="H183" i="5"/>
  <c r="DR182" i="5"/>
  <c r="DQ182" i="5"/>
  <c r="DP182" i="5"/>
  <c r="DO182" i="5"/>
  <c r="DN182" i="5"/>
  <c r="DL182" i="5"/>
  <c r="DK182" i="5"/>
  <c r="DJ182" i="5"/>
  <c r="DH182" i="5"/>
  <c r="DG182" i="5"/>
  <c r="DE182" i="5"/>
  <c r="DD182" i="5"/>
  <c r="DC182" i="5"/>
  <c r="DB182" i="5"/>
  <c r="CQ182" i="5"/>
  <c r="CB182" i="5" s="1"/>
  <c r="BZ182" i="5"/>
  <c r="BW182" i="5"/>
  <c r="BV182" i="5"/>
  <c r="BT182" i="5"/>
  <c r="BS182" i="5"/>
  <c r="BR182" i="5"/>
  <c r="BQ182" i="5"/>
  <c r="BP182" i="5"/>
  <c r="BO182" i="5"/>
  <c r="BM182" i="5"/>
  <c r="BL182" i="5"/>
  <c r="BK182" i="5"/>
  <c r="BJ182" i="5"/>
  <c r="BH182" i="5"/>
  <c r="BG182" i="5"/>
  <c r="AY182" i="5"/>
  <c r="AY187" i="5" s="1"/>
  <c r="AJ182" i="5"/>
  <c r="AI182" i="5" s="1"/>
  <c r="BE182" i="5" s="1"/>
  <c r="M182" i="5"/>
  <c r="DR181" i="5"/>
  <c r="DQ181" i="5"/>
  <c r="DP181" i="5"/>
  <c r="DO181" i="5"/>
  <c r="DN181" i="5"/>
  <c r="DM181" i="5"/>
  <c r="DL181" i="5"/>
  <c r="DK181" i="5"/>
  <c r="DJ181" i="5"/>
  <c r="DH181" i="5"/>
  <c r="DG181" i="5"/>
  <c r="DE181" i="5"/>
  <c r="DD181" i="5"/>
  <c r="DC181" i="5"/>
  <c r="DB181" i="5"/>
  <c r="CB181" i="5"/>
  <c r="BZ181" i="5"/>
  <c r="BW181" i="5"/>
  <c r="BV181" i="5"/>
  <c r="BU181" i="5"/>
  <c r="BT181" i="5"/>
  <c r="BS181" i="5"/>
  <c r="BR181" i="5"/>
  <c r="BQ181" i="5"/>
  <c r="BP181" i="5"/>
  <c r="BO181" i="5"/>
  <c r="BM181" i="5"/>
  <c r="BL181" i="5"/>
  <c r="BK181" i="5"/>
  <c r="BJ181" i="5"/>
  <c r="BH181" i="5"/>
  <c r="BF181" i="5" s="1"/>
  <c r="BG181" i="5"/>
  <c r="AJ181" i="5"/>
  <c r="AI181" i="5" s="1"/>
  <c r="BE181" i="5" s="1"/>
  <c r="M181" i="5"/>
  <c r="DR180" i="5"/>
  <c r="DQ180" i="5"/>
  <c r="DP180" i="5"/>
  <c r="DO180" i="5"/>
  <c r="DN180" i="5"/>
  <c r="DM180" i="5"/>
  <c r="DL180" i="5"/>
  <c r="DK180" i="5"/>
  <c r="DJ180" i="5"/>
  <c r="DH180" i="5"/>
  <c r="DG180" i="5"/>
  <c r="DE180" i="5"/>
  <c r="DC180" i="5"/>
  <c r="DB180" i="5"/>
  <c r="CH180" i="5"/>
  <c r="DD180" i="5" s="1"/>
  <c r="BZ180" i="5"/>
  <c r="BW180" i="5"/>
  <c r="BV180" i="5"/>
  <c r="BU180" i="5"/>
  <c r="BT180" i="5"/>
  <c r="BS180" i="5"/>
  <c r="BR180" i="5"/>
  <c r="BQ180" i="5"/>
  <c r="BP180" i="5"/>
  <c r="BO180" i="5"/>
  <c r="BM180" i="5"/>
  <c r="BK180" i="5"/>
  <c r="BJ180" i="5"/>
  <c r="BH180" i="5"/>
  <c r="BG180" i="5"/>
  <c r="AP180" i="5"/>
  <c r="AJ180" i="5" s="1"/>
  <c r="M180" i="5"/>
  <c r="DR179" i="5"/>
  <c r="DQ179" i="5"/>
  <c r="DP179" i="5"/>
  <c r="DO179" i="5"/>
  <c r="DN179" i="5"/>
  <c r="DM179" i="5"/>
  <c r="DL179" i="5"/>
  <c r="DK179" i="5"/>
  <c r="DJ179" i="5"/>
  <c r="DH179" i="5"/>
  <c r="DG179" i="5"/>
  <c r="DE179" i="5"/>
  <c r="DD179" i="5"/>
  <c r="DC179" i="5"/>
  <c r="DB179" i="5"/>
  <c r="CB179" i="5"/>
  <c r="CA179" i="5"/>
  <c r="CW179" i="5" s="1"/>
  <c r="BZ179" i="5"/>
  <c r="BW179" i="5"/>
  <c r="BV179" i="5"/>
  <c r="BU179" i="5"/>
  <c r="BT179" i="5"/>
  <c r="BS179" i="5"/>
  <c r="BR179" i="5"/>
  <c r="BQ179" i="5"/>
  <c r="BP179" i="5"/>
  <c r="BO179" i="5"/>
  <c r="BM179" i="5"/>
  <c r="BL179" i="5"/>
  <c r="BK179" i="5"/>
  <c r="BJ179" i="5"/>
  <c r="BH179" i="5"/>
  <c r="BG179" i="5"/>
  <c r="BF179" i="5" s="1"/>
  <c r="AJ179" i="5"/>
  <c r="AI179" i="5"/>
  <c r="BE179" i="5" s="1"/>
  <c r="M179" i="5"/>
  <c r="I179" i="5" s="1"/>
  <c r="H179" i="5"/>
  <c r="DR178" i="5"/>
  <c r="DQ178" i="5"/>
  <c r="DP178" i="5"/>
  <c r="DO178" i="5"/>
  <c r="DN178" i="5"/>
  <c r="DM178" i="5"/>
  <c r="DL178" i="5"/>
  <c r="DK178" i="5"/>
  <c r="DJ178" i="5"/>
  <c r="DH178" i="5"/>
  <c r="DG178" i="5"/>
  <c r="DE178" i="5"/>
  <c r="DD178" i="5"/>
  <c r="DC178" i="5"/>
  <c r="DB178" i="5"/>
  <c r="CX178" i="5" s="1"/>
  <c r="CB178" i="5"/>
  <c r="CA178" i="5" s="1"/>
  <c r="CW178" i="5" s="1"/>
  <c r="BZ178" i="5"/>
  <c r="BW178" i="5"/>
  <c r="BV178" i="5"/>
  <c r="BU178" i="5"/>
  <c r="BT178" i="5"/>
  <c r="BS178" i="5"/>
  <c r="BR178" i="5"/>
  <c r="BQ178" i="5"/>
  <c r="BP178" i="5"/>
  <c r="BO178" i="5"/>
  <c r="BM178" i="5"/>
  <c r="BL178" i="5"/>
  <c r="BK178" i="5"/>
  <c r="BJ178" i="5"/>
  <c r="BF178" i="5" s="1"/>
  <c r="BH178" i="5"/>
  <c r="BG178" i="5"/>
  <c r="BE178" i="5"/>
  <c r="AJ178" i="5"/>
  <c r="AI178" i="5" s="1"/>
  <c r="M178" i="5"/>
  <c r="H178" i="5"/>
  <c r="I178" i="5" s="1"/>
  <c r="DR177" i="5"/>
  <c r="DQ177" i="5"/>
  <c r="DP177" i="5"/>
  <c r="DO177" i="5"/>
  <c r="DN177" i="5"/>
  <c r="DM177" i="5"/>
  <c r="DL177" i="5"/>
  <c r="DK177" i="5"/>
  <c r="DJ177" i="5"/>
  <c r="DH177" i="5"/>
  <c r="DG177" i="5"/>
  <c r="DE177" i="5"/>
  <c r="DC177" i="5"/>
  <c r="DB177" i="5"/>
  <c r="CH177" i="5"/>
  <c r="BZ177" i="5"/>
  <c r="BW177" i="5"/>
  <c r="BV177" i="5"/>
  <c r="BU177" i="5"/>
  <c r="BT177" i="5"/>
  <c r="BS177" i="5"/>
  <c r="BR177" i="5"/>
  <c r="BQ177" i="5"/>
  <c r="BP177" i="5"/>
  <c r="BO177" i="5"/>
  <c r="BM177" i="5"/>
  <c r="BK177" i="5"/>
  <c r="BJ177" i="5"/>
  <c r="BH177" i="5"/>
  <c r="BG177" i="5"/>
  <c r="AP177" i="5"/>
  <c r="M177" i="5"/>
  <c r="DR176" i="5"/>
  <c r="DQ176" i="5"/>
  <c r="DP176" i="5"/>
  <c r="DO176" i="5"/>
  <c r="DN176" i="5"/>
  <c r="DM176" i="5"/>
  <c r="DL176" i="5"/>
  <c r="DK176" i="5"/>
  <c r="DJ176" i="5"/>
  <c r="DH176" i="5"/>
  <c r="DG176" i="5"/>
  <c r="DE176" i="5"/>
  <c r="DD176" i="5"/>
  <c r="DC176" i="5"/>
  <c r="CB176" i="5"/>
  <c r="BZ176" i="5"/>
  <c r="BW176" i="5"/>
  <c r="BV176" i="5"/>
  <c r="BU176" i="5"/>
  <c r="BT176" i="5"/>
  <c r="BS176" i="5"/>
  <c r="BR176" i="5"/>
  <c r="BQ176" i="5"/>
  <c r="BP176" i="5"/>
  <c r="BO176" i="5"/>
  <c r="BM176" i="5"/>
  <c r="BL176" i="5"/>
  <c r="BK176" i="5"/>
  <c r="BH176" i="5"/>
  <c r="BG176" i="5"/>
  <c r="AJ176" i="5"/>
  <c r="Q176" i="5"/>
  <c r="DB176" i="5" s="1"/>
  <c r="CX176" i="5" s="1"/>
  <c r="H176" i="5"/>
  <c r="DR175" i="5"/>
  <c r="DQ175" i="5"/>
  <c r="DP175" i="5"/>
  <c r="DO175" i="5"/>
  <c r="DN175" i="5"/>
  <c r="DM175" i="5"/>
  <c r="DL175" i="5"/>
  <c r="DK175" i="5"/>
  <c r="DJ175" i="5"/>
  <c r="DH175" i="5"/>
  <c r="DG175" i="5"/>
  <c r="DE175" i="5"/>
  <c r="DC175" i="5"/>
  <c r="DB175" i="5"/>
  <c r="CH175" i="5"/>
  <c r="CB175" i="5" s="1"/>
  <c r="BZ175" i="5"/>
  <c r="BW175" i="5"/>
  <c r="BV175" i="5"/>
  <c r="BU175" i="5"/>
  <c r="BT175" i="5"/>
  <c r="BS175" i="5"/>
  <c r="BR175" i="5"/>
  <c r="BQ175" i="5"/>
  <c r="BP175" i="5"/>
  <c r="BO175" i="5"/>
  <c r="BM175" i="5"/>
  <c r="BK175" i="5"/>
  <c r="BJ175" i="5"/>
  <c r="BH175" i="5"/>
  <c r="BG175" i="5"/>
  <c r="AP175" i="5"/>
  <c r="AJ175" i="5" s="1"/>
  <c r="AI175" i="5" s="1"/>
  <c r="BE175" i="5" s="1"/>
  <c r="M175" i="5"/>
  <c r="DR174" i="5"/>
  <c r="DQ174" i="5"/>
  <c r="DP174" i="5"/>
  <c r="DO174" i="5"/>
  <c r="DN174" i="5"/>
  <c r="DM174" i="5"/>
  <c r="DL174" i="5"/>
  <c r="DK174" i="5"/>
  <c r="DJ174" i="5"/>
  <c r="DH174" i="5"/>
  <c r="DG174" i="5"/>
  <c r="DE174" i="5"/>
  <c r="DD174" i="5"/>
  <c r="DC174" i="5"/>
  <c r="DB174" i="5"/>
  <c r="CX174" i="5"/>
  <c r="CB174" i="5"/>
  <c r="BZ174" i="5"/>
  <c r="BY174" i="5"/>
  <c r="BW174" i="5"/>
  <c r="BV174" i="5"/>
  <c r="BU174" i="5"/>
  <c r="BT174" i="5"/>
  <c r="BS174" i="5"/>
  <c r="BR174" i="5"/>
  <c r="BQ174" i="5"/>
  <c r="BP174" i="5"/>
  <c r="BO174" i="5"/>
  <c r="BM174" i="5"/>
  <c r="BL174" i="5"/>
  <c r="BK174" i="5"/>
  <c r="BH174" i="5"/>
  <c r="BG174" i="5"/>
  <c r="AJ174" i="5"/>
  <c r="Q174" i="5"/>
  <c r="H174" i="5"/>
  <c r="DR173" i="5"/>
  <c r="DQ173" i="5"/>
  <c r="DP173" i="5"/>
  <c r="DO173" i="5"/>
  <c r="DN173" i="5"/>
  <c r="DM173" i="5"/>
  <c r="DL173" i="5"/>
  <c r="DK173" i="5"/>
  <c r="DJ173" i="5"/>
  <c r="DH173" i="5"/>
  <c r="DG173" i="5"/>
  <c r="DE173" i="5"/>
  <c r="DD173" i="5"/>
  <c r="DC173" i="5"/>
  <c r="CB173" i="5"/>
  <c r="BZ173" i="5"/>
  <c r="BY173" i="5"/>
  <c r="BW173" i="5"/>
  <c r="BV173" i="5"/>
  <c r="BU173" i="5"/>
  <c r="BT173" i="5"/>
  <c r="BS173" i="5"/>
  <c r="BR173" i="5"/>
  <c r="BQ173" i="5"/>
  <c r="BP173" i="5"/>
  <c r="BO173" i="5"/>
  <c r="BM173" i="5"/>
  <c r="BL173" i="5"/>
  <c r="BK173" i="5"/>
  <c r="BH173" i="5"/>
  <c r="BG173" i="5"/>
  <c r="AJ173" i="5"/>
  <c r="Q173" i="5"/>
  <c r="H173" i="5"/>
  <c r="DR172" i="5"/>
  <c r="DQ172" i="5"/>
  <c r="DP172" i="5"/>
  <c r="DO172" i="5"/>
  <c r="DN172" i="5"/>
  <c r="DM172" i="5"/>
  <c r="DL172" i="5"/>
  <c r="DK172" i="5"/>
  <c r="CX172" i="5" s="1"/>
  <c r="DJ172" i="5"/>
  <c r="DH172" i="5"/>
  <c r="DG172" i="5"/>
  <c r="DE172" i="5"/>
  <c r="DD172" i="5"/>
  <c r="DC172" i="5"/>
  <c r="CB172" i="5"/>
  <c r="BZ172" i="5"/>
  <c r="BY172" i="5"/>
  <c r="BW172" i="5"/>
  <c r="BV172" i="5"/>
  <c r="BU172" i="5"/>
  <c r="BT172" i="5"/>
  <c r="BS172" i="5"/>
  <c r="BR172" i="5"/>
  <c r="BQ172" i="5"/>
  <c r="BP172" i="5"/>
  <c r="BO172" i="5"/>
  <c r="BM172" i="5"/>
  <c r="BL172" i="5"/>
  <c r="BK172" i="5"/>
  <c r="BH172" i="5"/>
  <c r="BG172" i="5"/>
  <c r="AJ172" i="5"/>
  <c r="Q172" i="5"/>
  <c r="DB172" i="5" s="1"/>
  <c r="H172" i="5"/>
  <c r="DR171" i="5"/>
  <c r="DQ171" i="5"/>
  <c r="DP171" i="5"/>
  <c r="DO171" i="5"/>
  <c r="DN171" i="5"/>
  <c r="DM171" i="5"/>
  <c r="DL171" i="5"/>
  <c r="DK171" i="5"/>
  <c r="DJ171" i="5"/>
  <c r="DH171" i="5"/>
  <c r="DG171" i="5"/>
  <c r="DE171" i="5"/>
  <c r="DD171" i="5"/>
  <c r="CX171" i="5" s="1"/>
  <c r="DC171" i="5"/>
  <c r="DB171" i="5"/>
  <c r="CW171" i="5"/>
  <c r="CB171" i="5"/>
  <c r="CA171" i="5"/>
  <c r="BZ171" i="5"/>
  <c r="BY171" i="5"/>
  <c r="BW171" i="5"/>
  <c r="BV171" i="5"/>
  <c r="BU171" i="5"/>
  <c r="BT171" i="5"/>
  <c r="BS171" i="5"/>
  <c r="BR171" i="5"/>
  <c r="BQ171" i="5"/>
  <c r="BP171" i="5"/>
  <c r="BO171" i="5"/>
  <c r="BM171" i="5"/>
  <c r="BL171" i="5"/>
  <c r="BK171" i="5"/>
  <c r="BJ171" i="5"/>
  <c r="BH171" i="5"/>
  <c r="BG171" i="5"/>
  <c r="BF171" i="5" s="1"/>
  <c r="AJ171" i="5"/>
  <c r="AI171" i="5"/>
  <c r="BE171" i="5" s="1"/>
  <c r="M171" i="5"/>
  <c r="H171" i="5"/>
  <c r="DR170" i="5"/>
  <c r="DQ170" i="5"/>
  <c r="DP170" i="5"/>
  <c r="DO170" i="5"/>
  <c r="DN170" i="5"/>
  <c r="DM170" i="5"/>
  <c r="DL170" i="5"/>
  <c r="DK170" i="5"/>
  <c r="DJ170" i="5"/>
  <c r="DH170" i="5"/>
  <c r="DG170" i="5"/>
  <c r="DE170" i="5"/>
  <c r="DD170" i="5"/>
  <c r="DC170" i="5"/>
  <c r="CB170" i="5"/>
  <c r="BZ170" i="5"/>
  <c r="BY170" i="5"/>
  <c r="BW170" i="5"/>
  <c r="BU170" i="5"/>
  <c r="BT170" i="5"/>
  <c r="BS170" i="5"/>
  <c r="BR170" i="5"/>
  <c r="BQ170" i="5"/>
  <c r="BP170" i="5"/>
  <c r="BO170" i="5"/>
  <c r="BM170" i="5"/>
  <c r="BL170" i="5"/>
  <c r="BK170" i="5"/>
  <c r="BJ170" i="5"/>
  <c r="BH170" i="5"/>
  <c r="BG170" i="5"/>
  <c r="AZ170" i="5"/>
  <c r="BV170" i="5" s="1"/>
  <c r="AJ170" i="5"/>
  <c r="S170" i="5"/>
  <c r="Q170" i="5"/>
  <c r="Q195" i="5" s="1"/>
  <c r="DR169" i="5"/>
  <c r="DQ169" i="5"/>
  <c r="DP169" i="5"/>
  <c r="DO169" i="5"/>
  <c r="DN169" i="5"/>
  <c r="DM169" i="5"/>
  <c r="DL169" i="5"/>
  <c r="DK169" i="5"/>
  <c r="DJ169" i="5"/>
  <c r="DH169" i="5"/>
  <c r="DG169" i="5"/>
  <c r="DE169" i="5"/>
  <c r="DC169" i="5"/>
  <c r="DB169" i="5"/>
  <c r="CZ169" i="5"/>
  <c r="CH169" i="5"/>
  <c r="CB169" i="5" s="1"/>
  <c r="BZ169" i="5"/>
  <c r="BY169" i="5"/>
  <c r="BW169" i="5"/>
  <c r="BU169" i="5"/>
  <c r="BT169" i="5"/>
  <c r="BS169" i="5"/>
  <c r="BR169" i="5"/>
  <c r="BQ169" i="5"/>
  <c r="BP169" i="5"/>
  <c r="BO169" i="5"/>
  <c r="BM169" i="5"/>
  <c r="BK169" i="5"/>
  <c r="BJ169" i="5"/>
  <c r="BH169" i="5"/>
  <c r="BG169" i="5"/>
  <c r="AZ169" i="5"/>
  <c r="BV169" i="5" s="1"/>
  <c r="AP169" i="5"/>
  <c r="S169" i="5"/>
  <c r="CB168" i="5"/>
  <c r="AJ168" i="5"/>
  <c r="Q168" i="5"/>
  <c r="H168" i="5"/>
  <c r="DB167" i="5"/>
  <c r="CX167" i="5" s="1"/>
  <c r="CB167" i="5"/>
  <c r="H167" i="5" s="1"/>
  <c r="BF167" i="5"/>
  <c r="BE167" i="5"/>
  <c r="AJ167" i="5"/>
  <c r="AI167" i="5"/>
  <c r="Q167" i="5"/>
  <c r="BJ167" i="5" s="1"/>
  <c r="M167" i="5"/>
  <c r="I167" i="5" s="1"/>
  <c r="CX166" i="5"/>
  <c r="CB166" i="5"/>
  <c r="BJ166" i="5"/>
  <c r="BF166" i="5" s="1"/>
  <c r="AJ166" i="5"/>
  <c r="Q166" i="5"/>
  <c r="DB166" i="5" s="1"/>
  <c r="M166" i="5"/>
  <c r="H166" i="5"/>
  <c r="DR165" i="5"/>
  <c r="DQ165" i="5"/>
  <c r="DP165" i="5"/>
  <c r="DO165" i="5"/>
  <c r="DN165" i="5"/>
  <c r="DM165" i="5"/>
  <c r="DL165" i="5"/>
  <c r="DK165" i="5"/>
  <c r="DJ165" i="5"/>
  <c r="DH165" i="5"/>
  <c r="DG165" i="5"/>
  <c r="DE165" i="5"/>
  <c r="DD165" i="5"/>
  <c r="DC165" i="5"/>
  <c r="DB165" i="5"/>
  <c r="CX165" i="5"/>
  <c r="CB165" i="5"/>
  <c r="CA165" i="5"/>
  <c r="CW165" i="5" s="1"/>
  <c r="BZ165" i="5"/>
  <c r="BW165" i="5"/>
  <c r="BV165" i="5"/>
  <c r="BU165" i="5"/>
  <c r="BT165" i="5"/>
  <c r="BS165" i="5"/>
  <c r="BR165" i="5"/>
  <c r="BQ165" i="5"/>
  <c r="BP165" i="5"/>
  <c r="BO165" i="5"/>
  <c r="BM165" i="5"/>
  <c r="BL165" i="5"/>
  <c r="BK165" i="5"/>
  <c r="BJ165" i="5"/>
  <c r="BH165" i="5"/>
  <c r="BG165" i="5"/>
  <c r="BC165" i="5"/>
  <c r="BC192" i="5" s="1"/>
  <c r="M165" i="5"/>
  <c r="I165" i="5"/>
  <c r="H165" i="5"/>
  <c r="DQ164" i="5"/>
  <c r="DP164" i="5"/>
  <c r="DO164" i="5"/>
  <c r="DN164" i="5"/>
  <c r="DM164" i="5"/>
  <c r="DL164" i="5"/>
  <c r="DK164" i="5"/>
  <c r="DJ164" i="5"/>
  <c r="DH164" i="5"/>
  <c r="DG164" i="5"/>
  <c r="DE164" i="5"/>
  <c r="DD164" i="5"/>
  <c r="DC164" i="5"/>
  <c r="DB164" i="5"/>
  <c r="CV164" i="5"/>
  <c r="DR164" i="5" s="1"/>
  <c r="BY164" i="5"/>
  <c r="BW164" i="5"/>
  <c r="BV164" i="5"/>
  <c r="BU164" i="5"/>
  <c r="BT164" i="5"/>
  <c r="BS164" i="5"/>
  <c r="BR164" i="5"/>
  <c r="BQ164" i="5"/>
  <c r="BP164" i="5"/>
  <c r="BO164" i="5"/>
  <c r="BM164" i="5"/>
  <c r="BL164" i="5"/>
  <c r="BK164" i="5"/>
  <c r="BJ164" i="5"/>
  <c r="BH164" i="5"/>
  <c r="BG164" i="5"/>
  <c r="BD164" i="5"/>
  <c r="AG164" i="5"/>
  <c r="M164" i="5"/>
  <c r="DQ163" i="5"/>
  <c r="DP163" i="5"/>
  <c r="DO163" i="5"/>
  <c r="DN163" i="5"/>
  <c r="DM163" i="5"/>
  <c r="DL163" i="5"/>
  <c r="DK163" i="5"/>
  <c r="DJ163" i="5"/>
  <c r="DH163" i="5"/>
  <c r="DG163" i="5"/>
  <c r="DD163" i="5"/>
  <c r="DC163" i="5"/>
  <c r="CB163" i="5"/>
  <c r="H163" i="5" s="1"/>
  <c r="BY163" i="5"/>
  <c r="BW163" i="5"/>
  <c r="BV163" i="5"/>
  <c r="BU163" i="5"/>
  <c r="BT163" i="5"/>
  <c r="BS163" i="5"/>
  <c r="BR163" i="5"/>
  <c r="BQ163" i="5"/>
  <c r="BP163" i="5"/>
  <c r="BO163" i="5"/>
  <c r="BL163" i="5"/>
  <c r="BK163" i="5"/>
  <c r="BH163" i="5"/>
  <c r="BG163" i="5"/>
  <c r="BD163" i="5"/>
  <c r="AJ163" i="5" s="1"/>
  <c r="AG163" i="5"/>
  <c r="DR163" i="5" s="1"/>
  <c r="T163" i="5"/>
  <c r="DE163" i="5" s="1"/>
  <c r="Q163" i="5"/>
  <c r="DR162" i="5"/>
  <c r="DQ162" i="5"/>
  <c r="DP162" i="5"/>
  <c r="DO162" i="5"/>
  <c r="DM162" i="5"/>
  <c r="DL162" i="5"/>
  <c r="DK162" i="5"/>
  <c r="DJ162" i="5"/>
  <c r="DH162" i="5"/>
  <c r="DG162" i="5"/>
  <c r="DE162" i="5"/>
  <c r="DC162" i="5"/>
  <c r="DB162" i="5"/>
  <c r="CR162" i="5"/>
  <c r="DN162" i="5" s="1"/>
  <c r="CH162" i="5"/>
  <c r="CB162" i="5"/>
  <c r="BZ162" i="5"/>
  <c r="BY162" i="5"/>
  <c r="BW162" i="5"/>
  <c r="BU162" i="5"/>
  <c r="BT162" i="5"/>
  <c r="BS162" i="5"/>
  <c r="BR162" i="5"/>
  <c r="BQ162" i="5"/>
  <c r="BP162" i="5"/>
  <c r="BO162" i="5"/>
  <c r="BM162" i="5"/>
  <c r="BK162" i="5"/>
  <c r="BJ162" i="5"/>
  <c r="BH162" i="5"/>
  <c r="BG162" i="5"/>
  <c r="AZ162" i="5"/>
  <c r="AP162" i="5"/>
  <c r="AP192" i="5" s="1"/>
  <c r="M162" i="5"/>
  <c r="DR161" i="5"/>
  <c r="DQ161" i="5"/>
  <c r="DP161" i="5"/>
  <c r="DO161" i="5"/>
  <c r="DN161" i="5"/>
  <c r="DM161" i="5"/>
  <c r="DL161" i="5"/>
  <c r="DK161" i="5"/>
  <c r="DJ161" i="5"/>
  <c r="DH161" i="5"/>
  <c r="DG161" i="5"/>
  <c r="DE161" i="5"/>
  <c r="DD161" i="5"/>
  <c r="DC161" i="5"/>
  <c r="CX161" i="5" s="1"/>
  <c r="DB161" i="5"/>
  <c r="CV161" i="5"/>
  <c r="CB161" i="5"/>
  <c r="CA161" i="5" s="1"/>
  <c r="CW161" i="5" s="1"/>
  <c r="BY161" i="5"/>
  <c r="BW161" i="5"/>
  <c r="BV161" i="5"/>
  <c r="BU161" i="5"/>
  <c r="BT161" i="5"/>
  <c r="BS161" i="5"/>
  <c r="BR161" i="5"/>
  <c r="BQ161" i="5"/>
  <c r="BP161" i="5"/>
  <c r="BO161" i="5"/>
  <c r="BM161" i="5"/>
  <c r="BL161" i="5"/>
  <c r="BK161" i="5"/>
  <c r="BJ161" i="5"/>
  <c r="BH161" i="5"/>
  <c r="BG161" i="5"/>
  <c r="BD161" i="5"/>
  <c r="AJ161" i="5" s="1"/>
  <c r="AI161" i="5" s="1"/>
  <c r="BE161" i="5" s="1"/>
  <c r="AG161" i="5"/>
  <c r="M161" i="5" s="1"/>
  <c r="H161" i="5"/>
  <c r="DQ160" i="5"/>
  <c r="DP160" i="5"/>
  <c r="DO160" i="5"/>
  <c r="DN160" i="5"/>
  <c r="DM160" i="5"/>
  <c r="DL160" i="5"/>
  <c r="DK160" i="5"/>
  <c r="DJ160" i="5"/>
  <c r="DH160" i="5"/>
  <c r="DG160" i="5"/>
  <c r="DD160" i="5"/>
  <c r="DC160" i="5"/>
  <c r="CV160" i="5"/>
  <c r="CF160" i="5"/>
  <c r="BY160" i="5"/>
  <c r="BW160" i="5"/>
  <c r="BV160" i="5"/>
  <c r="BU160" i="5"/>
  <c r="BT160" i="5"/>
  <c r="BS160" i="5"/>
  <c r="BR160" i="5"/>
  <c r="BQ160" i="5"/>
  <c r="BP160" i="5"/>
  <c r="BO160" i="5"/>
  <c r="BL160" i="5"/>
  <c r="BK160" i="5"/>
  <c r="BH160" i="5"/>
  <c r="BG160" i="5"/>
  <c r="BD160" i="5"/>
  <c r="BZ160" i="5" s="1"/>
  <c r="AN160" i="5"/>
  <c r="AG160" i="5"/>
  <c r="T160" i="5"/>
  <c r="DE160" i="5" s="1"/>
  <c r="Q160" i="5"/>
  <c r="DR159" i="5"/>
  <c r="DQ159" i="5"/>
  <c r="DP159" i="5"/>
  <c r="DO159" i="5"/>
  <c r="DN159" i="5"/>
  <c r="DM159" i="5"/>
  <c r="DL159" i="5"/>
  <c r="DK159" i="5"/>
  <c r="DJ159" i="5"/>
  <c r="DH159" i="5"/>
  <c r="DG159" i="5"/>
  <c r="DD159" i="5"/>
  <c r="DC159" i="5"/>
  <c r="CF159" i="5"/>
  <c r="CB159" i="5" s="1"/>
  <c r="H159" i="5" s="1"/>
  <c r="BZ159" i="5"/>
  <c r="BY159" i="5"/>
  <c r="BW159" i="5"/>
  <c r="BV159" i="5"/>
  <c r="BU159" i="5"/>
  <c r="BT159" i="5"/>
  <c r="BS159" i="5"/>
  <c r="BR159" i="5"/>
  <c r="BQ159" i="5"/>
  <c r="BP159" i="5"/>
  <c r="BO159" i="5"/>
  <c r="BL159" i="5"/>
  <c r="BK159" i="5"/>
  <c r="BJ159" i="5"/>
  <c r="BH159" i="5"/>
  <c r="BG159" i="5"/>
  <c r="AN159" i="5"/>
  <c r="AJ159" i="5" s="1"/>
  <c r="T159" i="5"/>
  <c r="Q159" i="5"/>
  <c r="DR158" i="5"/>
  <c r="DQ158" i="5"/>
  <c r="DP158" i="5"/>
  <c r="DO158" i="5"/>
  <c r="DN158" i="5"/>
  <c r="DM158" i="5"/>
  <c r="DL158" i="5"/>
  <c r="DK158" i="5"/>
  <c r="DJ158" i="5"/>
  <c r="DH158" i="5"/>
  <c r="DG158" i="5"/>
  <c r="DE158" i="5"/>
  <c r="DD158" i="5"/>
  <c r="DC158" i="5"/>
  <c r="DB158" i="5"/>
  <c r="DA158" i="5"/>
  <c r="CB158" i="5"/>
  <c r="BZ158" i="5"/>
  <c r="BY158" i="5"/>
  <c r="BW158" i="5"/>
  <c r="BV158" i="5"/>
  <c r="BU158" i="5"/>
  <c r="BT158" i="5"/>
  <c r="BS158" i="5"/>
  <c r="BR158" i="5"/>
  <c r="BQ158" i="5"/>
  <c r="BP158" i="5"/>
  <c r="BO158" i="5"/>
  <c r="BM158" i="5"/>
  <c r="BL158" i="5"/>
  <c r="BK158" i="5"/>
  <c r="BH158" i="5"/>
  <c r="BG158" i="5"/>
  <c r="AJ158" i="5"/>
  <c r="T158" i="5"/>
  <c r="Q158" i="5"/>
  <c r="BJ158" i="5" s="1"/>
  <c r="O158" i="5"/>
  <c r="CZ158" i="5" s="1"/>
  <c r="M158" i="5"/>
  <c r="H158" i="5"/>
  <c r="DR157" i="5"/>
  <c r="DQ157" i="5"/>
  <c r="DP157" i="5"/>
  <c r="DO157" i="5"/>
  <c r="DN157" i="5"/>
  <c r="DM157" i="5"/>
  <c r="DL157" i="5"/>
  <c r="DK157" i="5"/>
  <c r="DJ157" i="5"/>
  <c r="DH157" i="5"/>
  <c r="DG157" i="5"/>
  <c r="DE157" i="5"/>
  <c r="DD157" i="5"/>
  <c r="DC157" i="5"/>
  <c r="DB157" i="5"/>
  <c r="CV157" i="5"/>
  <c r="CB157" i="5" s="1"/>
  <c r="CA157" i="5" s="1"/>
  <c r="CW157" i="5" s="1"/>
  <c r="BY157" i="5"/>
  <c r="BW157" i="5"/>
  <c r="BV157" i="5"/>
  <c r="BU157" i="5"/>
  <c r="BT157" i="5"/>
  <c r="BS157" i="5"/>
  <c r="BR157" i="5"/>
  <c r="BQ157" i="5"/>
  <c r="BP157" i="5"/>
  <c r="BO157" i="5"/>
  <c r="BM157" i="5"/>
  <c r="BL157" i="5"/>
  <c r="BK157" i="5"/>
  <c r="BJ157" i="5"/>
  <c r="BH157" i="5"/>
  <c r="BG157" i="5"/>
  <c r="BD157" i="5"/>
  <c r="BZ157" i="5" s="1"/>
  <c r="AJ157" i="5"/>
  <c r="AI157" i="5"/>
  <c r="BE157" i="5" s="1"/>
  <c r="AG157" i="5"/>
  <c r="M157" i="5"/>
  <c r="DR156" i="5"/>
  <c r="DQ156" i="5"/>
  <c r="DP156" i="5"/>
  <c r="DO156" i="5"/>
  <c r="DN156" i="5"/>
  <c r="DM156" i="5"/>
  <c r="DL156" i="5"/>
  <c r="DK156" i="5"/>
  <c r="DJ156" i="5"/>
  <c r="DH156" i="5"/>
  <c r="DG156" i="5"/>
  <c r="DE156" i="5"/>
  <c r="DD156" i="5"/>
  <c r="DC156" i="5"/>
  <c r="DB156" i="5"/>
  <c r="CV156" i="5"/>
  <c r="CB156" i="5"/>
  <c r="CA156" i="5" s="1"/>
  <c r="CW156" i="5" s="1"/>
  <c r="BY156" i="5"/>
  <c r="BW156" i="5"/>
  <c r="BV156" i="5"/>
  <c r="BU156" i="5"/>
  <c r="BT156" i="5"/>
  <c r="BS156" i="5"/>
  <c r="BR156" i="5"/>
  <c r="BQ156" i="5"/>
  <c r="BP156" i="5"/>
  <c r="BO156" i="5"/>
  <c r="BM156" i="5"/>
  <c r="BL156" i="5"/>
  <c r="BK156" i="5"/>
  <c r="BJ156" i="5"/>
  <c r="BH156" i="5"/>
  <c r="BG156" i="5"/>
  <c r="BD156" i="5"/>
  <c r="AJ156" i="5"/>
  <c r="AI156" i="5" s="1"/>
  <c r="BE156" i="5" s="1"/>
  <c r="AG156" i="5"/>
  <c r="BZ156" i="5" s="1"/>
  <c r="M156" i="5"/>
  <c r="DR155" i="5"/>
  <c r="DQ155" i="5"/>
  <c r="DP155" i="5"/>
  <c r="DO155" i="5"/>
  <c r="DN155" i="5"/>
  <c r="DM155" i="5"/>
  <c r="DL155" i="5"/>
  <c r="DK155" i="5"/>
  <c r="DJ155" i="5"/>
  <c r="DH155" i="5"/>
  <c r="DG155" i="5"/>
  <c r="DE155" i="5"/>
  <c r="DD155" i="5"/>
  <c r="DC155" i="5"/>
  <c r="DA155" i="5"/>
  <c r="CZ155" i="5"/>
  <c r="CB155" i="5"/>
  <c r="BZ155" i="5"/>
  <c r="BY155" i="5"/>
  <c r="BX155" i="5"/>
  <c r="BW155" i="5"/>
  <c r="BV155" i="5"/>
  <c r="BU155" i="5"/>
  <c r="BT155" i="5"/>
  <c r="BS155" i="5"/>
  <c r="BR155" i="5"/>
  <c r="BQ155" i="5"/>
  <c r="BP155" i="5"/>
  <c r="BO155" i="5"/>
  <c r="BM155" i="5"/>
  <c r="BL155" i="5"/>
  <c r="BK155" i="5"/>
  <c r="BH155" i="5"/>
  <c r="BG155" i="5"/>
  <c r="AJ155" i="5"/>
  <c r="T155" i="5"/>
  <c r="Q155" i="5"/>
  <c r="O155" i="5"/>
  <c r="H155" i="5"/>
  <c r="DR154" i="5"/>
  <c r="DQ154" i="5"/>
  <c r="DP154" i="5"/>
  <c r="DO154" i="5"/>
  <c r="DN154" i="5"/>
  <c r="DM154" i="5"/>
  <c r="DL154" i="5"/>
  <c r="DK154" i="5"/>
  <c r="DJ154" i="5"/>
  <c r="DH154" i="5"/>
  <c r="DG154" i="5"/>
  <c r="DD154" i="5"/>
  <c r="DC154" i="5"/>
  <c r="CF154" i="5"/>
  <c r="BZ154" i="5"/>
  <c r="BY154" i="5"/>
  <c r="BW154" i="5"/>
  <c r="BV154" i="5"/>
  <c r="BU154" i="5"/>
  <c r="BT154" i="5"/>
  <c r="BS154" i="5"/>
  <c r="BR154" i="5"/>
  <c r="BQ154" i="5"/>
  <c r="BP154" i="5"/>
  <c r="BO154" i="5"/>
  <c r="BM154" i="5"/>
  <c r="BL154" i="5"/>
  <c r="BK154" i="5"/>
  <c r="BH154" i="5"/>
  <c r="BG154" i="5"/>
  <c r="AN154" i="5"/>
  <c r="BJ154" i="5" s="1"/>
  <c r="AJ154" i="5"/>
  <c r="AI154" i="5" s="1"/>
  <c r="BE154" i="5" s="1"/>
  <c r="T154" i="5"/>
  <c r="Q154" i="5"/>
  <c r="M154" i="5"/>
  <c r="DR153" i="5"/>
  <c r="DQ153" i="5"/>
  <c r="DP153" i="5"/>
  <c r="DO153" i="5"/>
  <c r="DN153" i="5"/>
  <c r="DM153" i="5"/>
  <c r="DL153" i="5"/>
  <c r="DK153" i="5"/>
  <c r="DJ153" i="5"/>
  <c r="DH153" i="5"/>
  <c r="DG153" i="5"/>
  <c r="DE153" i="5"/>
  <c r="DD153" i="5"/>
  <c r="DC153" i="5"/>
  <c r="CB153" i="5"/>
  <c r="BZ153" i="5"/>
  <c r="BY153" i="5"/>
  <c r="BW153" i="5"/>
  <c r="BV153" i="5"/>
  <c r="BU153" i="5"/>
  <c r="BT153" i="5"/>
  <c r="BS153" i="5"/>
  <c r="BR153" i="5"/>
  <c r="BQ153" i="5"/>
  <c r="BP153" i="5"/>
  <c r="BO153" i="5"/>
  <c r="BM153" i="5"/>
  <c r="BL153" i="5"/>
  <c r="BK153" i="5"/>
  <c r="BH153" i="5"/>
  <c r="BG153" i="5"/>
  <c r="AJ153" i="5"/>
  <c r="Q153" i="5"/>
  <c r="M153" i="5"/>
  <c r="DQ152" i="5"/>
  <c r="DP152" i="5"/>
  <c r="DO152" i="5"/>
  <c r="DN152" i="5"/>
  <c r="DM152" i="5"/>
  <c r="DL152" i="5"/>
  <c r="DK152" i="5"/>
  <c r="DJ152" i="5"/>
  <c r="DH152" i="5"/>
  <c r="DG152" i="5"/>
  <c r="DE152" i="5"/>
  <c r="DD152" i="5"/>
  <c r="DC152" i="5"/>
  <c r="DB152" i="5"/>
  <c r="CB152" i="5"/>
  <c r="H152" i="5" s="1"/>
  <c r="CA152" i="5"/>
  <c r="CW152" i="5" s="1"/>
  <c r="BY152" i="5"/>
  <c r="BW152" i="5"/>
  <c r="BV152" i="5"/>
  <c r="BU152" i="5"/>
  <c r="BT152" i="5"/>
  <c r="BS152" i="5"/>
  <c r="BR152" i="5"/>
  <c r="BQ152" i="5"/>
  <c r="BP152" i="5"/>
  <c r="BO152" i="5"/>
  <c r="BM152" i="5"/>
  <c r="BL152" i="5"/>
  <c r="BK152" i="5"/>
  <c r="BJ152" i="5"/>
  <c r="BH152" i="5"/>
  <c r="BG152" i="5"/>
  <c r="BD152" i="5"/>
  <c r="AJ152" i="5" s="1"/>
  <c r="AI152" i="5" s="1"/>
  <c r="BE152" i="5" s="1"/>
  <c r="AG152" i="5"/>
  <c r="M152" i="5"/>
  <c r="DR151" i="5"/>
  <c r="DQ151" i="5"/>
  <c r="DP151" i="5"/>
  <c r="DO151" i="5"/>
  <c r="DN151" i="5"/>
  <c r="DM151" i="5"/>
  <c r="DL151" i="5"/>
  <c r="DK151" i="5"/>
  <c r="DJ151" i="5"/>
  <c r="DH151" i="5"/>
  <c r="DG151" i="5"/>
  <c r="DE151" i="5"/>
  <c r="DD151" i="5"/>
  <c r="DC151" i="5"/>
  <c r="CB151" i="5"/>
  <c r="BZ151" i="5"/>
  <c r="BY151" i="5"/>
  <c r="BW151" i="5"/>
  <c r="BV151" i="5"/>
  <c r="BU151" i="5"/>
  <c r="BT151" i="5"/>
  <c r="BS151" i="5"/>
  <c r="BR151" i="5"/>
  <c r="BQ151" i="5"/>
  <c r="BP151" i="5"/>
  <c r="BO151" i="5"/>
  <c r="BM151" i="5"/>
  <c r="BL151" i="5"/>
  <c r="BK151" i="5"/>
  <c r="BH151" i="5"/>
  <c r="BG151" i="5"/>
  <c r="AN151" i="5"/>
  <c r="AJ151" i="5" s="1"/>
  <c r="Q151" i="5"/>
  <c r="H151" i="5"/>
  <c r="DR150" i="5"/>
  <c r="DQ150" i="5"/>
  <c r="DP150" i="5"/>
  <c r="DO150" i="5"/>
  <c r="DN150" i="5"/>
  <c r="DM150" i="5"/>
  <c r="DL150" i="5"/>
  <c r="DK150" i="5"/>
  <c r="DJ150" i="5"/>
  <c r="DH150" i="5"/>
  <c r="DG150" i="5"/>
  <c r="DE150" i="5"/>
  <c r="DD150" i="5"/>
  <c r="DC150" i="5"/>
  <c r="CF150" i="5"/>
  <c r="CB150" i="5" s="1"/>
  <c r="BZ150" i="5"/>
  <c r="BY150" i="5"/>
  <c r="BW150" i="5"/>
  <c r="BV150" i="5"/>
  <c r="BU150" i="5"/>
  <c r="BT150" i="5"/>
  <c r="BS150" i="5"/>
  <c r="BR150" i="5"/>
  <c r="BQ150" i="5"/>
  <c r="BP150" i="5"/>
  <c r="BO150" i="5"/>
  <c r="BM150" i="5"/>
  <c r="BL150" i="5"/>
  <c r="BK150" i="5"/>
  <c r="BH150" i="5"/>
  <c r="BG150" i="5"/>
  <c r="AN150" i="5"/>
  <c r="Q150" i="5"/>
  <c r="M150" i="5"/>
  <c r="DR149" i="5"/>
  <c r="DQ149" i="5"/>
  <c r="DP149" i="5"/>
  <c r="DO149" i="5"/>
  <c r="DN149" i="5"/>
  <c r="DM149" i="5"/>
  <c r="DL149" i="5"/>
  <c r="DK149" i="5"/>
  <c r="DJ149" i="5"/>
  <c r="DH149" i="5"/>
  <c r="DG149" i="5"/>
  <c r="DE149" i="5"/>
  <c r="DD149" i="5"/>
  <c r="CF149" i="5"/>
  <c r="DB149" i="5" s="1"/>
  <c r="BZ149" i="5"/>
  <c r="BY149" i="5"/>
  <c r="BW149" i="5"/>
  <c r="BV149" i="5"/>
  <c r="BU149" i="5"/>
  <c r="BT149" i="5"/>
  <c r="BS149" i="5"/>
  <c r="BR149" i="5"/>
  <c r="BQ149" i="5"/>
  <c r="BP149" i="5"/>
  <c r="BO149" i="5"/>
  <c r="BM149" i="5"/>
  <c r="BL149" i="5"/>
  <c r="BH149" i="5"/>
  <c r="BG149" i="5"/>
  <c r="AN149" i="5"/>
  <c r="AJ149" i="5" s="1"/>
  <c r="R149" i="5"/>
  <c r="Q149" i="5"/>
  <c r="DR148" i="5"/>
  <c r="DQ148" i="5"/>
  <c r="DP148" i="5"/>
  <c r="DO148" i="5"/>
  <c r="DN148" i="5"/>
  <c r="DM148" i="5"/>
  <c r="DL148" i="5"/>
  <c r="DK148" i="5"/>
  <c r="DJ148" i="5"/>
  <c r="DH148" i="5"/>
  <c r="DG148" i="5"/>
  <c r="DE148" i="5"/>
  <c r="DD148" i="5"/>
  <c r="DC148" i="5"/>
  <c r="DB148" i="5"/>
  <c r="CB148" i="5"/>
  <c r="BZ148" i="5"/>
  <c r="BY148" i="5"/>
  <c r="BW148" i="5"/>
  <c r="BV148" i="5"/>
  <c r="BU148" i="5"/>
  <c r="BT148" i="5"/>
  <c r="BS148" i="5"/>
  <c r="BR148" i="5"/>
  <c r="BQ148" i="5"/>
  <c r="BP148" i="5"/>
  <c r="BO148" i="5"/>
  <c r="BM148" i="5"/>
  <c r="BL148" i="5"/>
  <c r="BK148" i="5"/>
  <c r="BH148" i="5"/>
  <c r="BG148" i="5"/>
  <c r="AN148" i="5"/>
  <c r="AJ148" i="5" s="1"/>
  <c r="Q148" i="5"/>
  <c r="M148" i="5"/>
  <c r="I148" i="5" s="1"/>
  <c r="H148" i="5"/>
  <c r="DR147" i="5"/>
  <c r="DQ147" i="5"/>
  <c r="DP147" i="5"/>
  <c r="DO147" i="5"/>
  <c r="DN147" i="5"/>
  <c r="DM147" i="5"/>
  <c r="DL147" i="5"/>
  <c r="DK147" i="5"/>
  <c r="DJ147" i="5"/>
  <c r="DH147" i="5"/>
  <c r="DG147" i="5"/>
  <c r="DE147" i="5"/>
  <c r="DD147" i="5"/>
  <c r="DC147" i="5"/>
  <c r="CF147" i="5"/>
  <c r="CB147" i="5" s="1"/>
  <c r="BZ147" i="5"/>
  <c r="BY147" i="5"/>
  <c r="BW147" i="5"/>
  <c r="BV147" i="5"/>
  <c r="BU147" i="5"/>
  <c r="BT147" i="5"/>
  <c r="BS147" i="5"/>
  <c r="BR147" i="5"/>
  <c r="BQ147" i="5"/>
  <c r="BP147" i="5"/>
  <c r="BO147" i="5"/>
  <c r="BM147" i="5"/>
  <c r="BL147" i="5"/>
  <c r="BK147" i="5"/>
  <c r="BH147" i="5"/>
  <c r="BG147" i="5"/>
  <c r="AN147" i="5"/>
  <c r="AJ147" i="5" s="1"/>
  <c r="Q147" i="5"/>
  <c r="DR146" i="5"/>
  <c r="DQ146" i="5"/>
  <c r="DP146" i="5"/>
  <c r="DO146" i="5"/>
  <c r="DN146" i="5"/>
  <c r="DM146" i="5"/>
  <c r="DL146" i="5"/>
  <c r="DK146" i="5"/>
  <c r="DJ146" i="5"/>
  <c r="DH146" i="5"/>
  <c r="DG146" i="5"/>
  <c r="DE146" i="5"/>
  <c r="DD146" i="5"/>
  <c r="DC146" i="5"/>
  <c r="CB146" i="5"/>
  <c r="BZ146" i="5"/>
  <c r="BY146" i="5"/>
  <c r="BW146" i="5"/>
  <c r="BV146" i="5"/>
  <c r="BU146" i="5"/>
  <c r="BT146" i="5"/>
  <c r="BS146" i="5"/>
  <c r="BR146" i="5"/>
  <c r="BQ146" i="5"/>
  <c r="BP146" i="5"/>
  <c r="BO146" i="5"/>
  <c r="BM146" i="5"/>
  <c r="BL146" i="5"/>
  <c r="BK146" i="5"/>
  <c r="BH146" i="5"/>
  <c r="BG146" i="5"/>
  <c r="AJ146" i="5"/>
  <c r="Q146" i="5"/>
  <c r="H146" i="5"/>
  <c r="DR145" i="5"/>
  <c r="DP145" i="5"/>
  <c r="DO145" i="5"/>
  <c r="DN145" i="5"/>
  <c r="DM145" i="5"/>
  <c r="DL145" i="5"/>
  <c r="DK145" i="5"/>
  <c r="DJ145" i="5"/>
  <c r="DH145" i="5"/>
  <c r="DG145" i="5"/>
  <c r="DE145" i="5"/>
  <c r="DD145" i="5"/>
  <c r="DC145" i="5"/>
  <c r="CN145" i="5"/>
  <c r="CF145" i="5"/>
  <c r="CB145" i="5" s="1"/>
  <c r="H145" i="5" s="1"/>
  <c r="BZ145" i="5"/>
  <c r="BY145" i="5"/>
  <c r="BW145" i="5"/>
  <c r="BV145" i="5"/>
  <c r="BU145" i="5"/>
  <c r="BT145" i="5"/>
  <c r="BS145" i="5"/>
  <c r="BQ145" i="5"/>
  <c r="BP145" i="5"/>
  <c r="BO145" i="5"/>
  <c r="BM145" i="5"/>
  <c r="BL145" i="5"/>
  <c r="BK145" i="5"/>
  <c r="BH145" i="5"/>
  <c r="BG145" i="5"/>
  <c r="AV145" i="5"/>
  <c r="AN145" i="5"/>
  <c r="Q145" i="5"/>
  <c r="M145" i="5"/>
  <c r="DR144" i="5"/>
  <c r="DP144" i="5"/>
  <c r="DO144" i="5"/>
  <c r="DN144" i="5"/>
  <c r="DM144" i="5"/>
  <c r="DL144" i="5"/>
  <c r="DL192" i="5" s="1"/>
  <c r="DK144" i="5"/>
  <c r="DJ144" i="5"/>
  <c r="DH144" i="5"/>
  <c r="DG144" i="5"/>
  <c r="DE144" i="5"/>
  <c r="DD144" i="5"/>
  <c r="DC144" i="5"/>
  <c r="CF144" i="5"/>
  <c r="DB144" i="5" s="1"/>
  <c r="BZ144" i="5"/>
  <c r="BY144" i="5"/>
  <c r="BW144" i="5"/>
  <c r="BW192" i="5" s="1"/>
  <c r="BV144" i="5"/>
  <c r="BU144" i="5"/>
  <c r="BT144" i="5"/>
  <c r="BS144" i="5"/>
  <c r="BR144" i="5"/>
  <c r="BQ144" i="5"/>
  <c r="BP144" i="5"/>
  <c r="BO144" i="5"/>
  <c r="BO192" i="5" s="1"/>
  <c r="BM144" i="5"/>
  <c r="BL144" i="5"/>
  <c r="BK144" i="5"/>
  <c r="BH144" i="5"/>
  <c r="BG144" i="5"/>
  <c r="AJ144" i="5"/>
  <c r="Q144" i="5"/>
  <c r="DB143" i="5"/>
  <c r="CX143" i="5" s="1"/>
  <c r="CB143" i="5"/>
  <c r="H143" i="5" s="1"/>
  <c r="BJ143" i="5"/>
  <c r="BF143" i="5" s="1"/>
  <c r="AJ143" i="5"/>
  <c r="Q143" i="5"/>
  <c r="M143" i="5"/>
  <c r="CA143" i="5" s="1"/>
  <c r="CW143" i="5" s="1"/>
  <c r="I143" i="5"/>
  <c r="DP142" i="5"/>
  <c r="DO142" i="5"/>
  <c r="DN142" i="5"/>
  <c r="DM142" i="5"/>
  <c r="DL142" i="5"/>
  <c r="DK142" i="5"/>
  <c r="DJ142" i="5"/>
  <c r="DH142" i="5"/>
  <c r="DG142" i="5"/>
  <c r="DE142" i="5"/>
  <c r="DD142" i="5"/>
  <c r="DC142" i="5"/>
  <c r="DB142" i="5"/>
  <c r="CV142" i="5"/>
  <c r="CB142" i="5" s="1"/>
  <c r="H142" i="5" s="1"/>
  <c r="CA142" i="5"/>
  <c r="CW142" i="5" s="1"/>
  <c r="BY142" i="5"/>
  <c r="BW142" i="5"/>
  <c r="BV142" i="5"/>
  <c r="BU142" i="5"/>
  <c r="BT142" i="5"/>
  <c r="BS142" i="5"/>
  <c r="BR142" i="5"/>
  <c r="BQ142" i="5"/>
  <c r="BP142" i="5"/>
  <c r="BO142" i="5"/>
  <c r="BM142" i="5"/>
  <c r="BL142" i="5"/>
  <c r="BK142" i="5"/>
  <c r="BJ142" i="5"/>
  <c r="BH142" i="5"/>
  <c r="BG142" i="5"/>
  <c r="BD142" i="5"/>
  <c r="AG142" i="5"/>
  <c r="AG191" i="5" s="1"/>
  <c r="M142" i="5"/>
  <c r="DR141" i="5"/>
  <c r="DP141" i="5"/>
  <c r="DO141" i="5"/>
  <c r="DN141" i="5"/>
  <c r="DM141" i="5"/>
  <c r="DL141" i="5"/>
  <c r="DK141" i="5"/>
  <c r="DJ141" i="5"/>
  <c r="DH141" i="5"/>
  <c r="DG141" i="5"/>
  <c r="DE141" i="5"/>
  <c r="DD141" i="5"/>
  <c r="DC141" i="5"/>
  <c r="DB141" i="5"/>
  <c r="CB141" i="5"/>
  <c r="H141" i="5" s="1"/>
  <c r="BZ141" i="5"/>
  <c r="BY141" i="5"/>
  <c r="BW141" i="5"/>
  <c r="BV141" i="5"/>
  <c r="BU141" i="5"/>
  <c r="BT141" i="5"/>
  <c r="BS141" i="5"/>
  <c r="BR141" i="5"/>
  <c r="BQ141" i="5"/>
  <c r="BP141" i="5"/>
  <c r="BO141" i="5"/>
  <c r="BM141" i="5"/>
  <c r="BL141" i="5"/>
  <c r="BK141" i="5"/>
  <c r="BJ141" i="5"/>
  <c r="BH141" i="5"/>
  <c r="BG141" i="5"/>
  <c r="BF141" i="5" s="1"/>
  <c r="AJ141" i="5"/>
  <c r="Q141" i="5"/>
  <c r="M141" i="5"/>
  <c r="I141" i="5"/>
  <c r="DR140" i="5"/>
  <c r="DP140" i="5"/>
  <c r="DO140" i="5"/>
  <c r="DN140" i="5"/>
  <c r="DM140" i="5"/>
  <c r="DL140" i="5"/>
  <c r="DK140" i="5"/>
  <c r="DJ140" i="5"/>
  <c r="DH140" i="5"/>
  <c r="DG140" i="5"/>
  <c r="DE140" i="5"/>
  <c r="DD140" i="5"/>
  <c r="DC140" i="5"/>
  <c r="CF140" i="5"/>
  <c r="CB140" i="5" s="1"/>
  <c r="BZ140" i="5"/>
  <c r="BY140" i="5"/>
  <c r="BW140" i="5"/>
  <c r="BV140" i="5"/>
  <c r="BU140" i="5"/>
  <c r="BT140" i="5"/>
  <c r="BS140" i="5"/>
  <c r="BR140" i="5"/>
  <c r="BQ140" i="5"/>
  <c r="BP140" i="5"/>
  <c r="BO140" i="5"/>
  <c r="BM140" i="5"/>
  <c r="BL140" i="5"/>
  <c r="BK140" i="5"/>
  <c r="BH140" i="5"/>
  <c r="BG140" i="5"/>
  <c r="AN140" i="5"/>
  <c r="AJ140" i="5" s="1"/>
  <c r="AI140" i="5" s="1"/>
  <c r="BE140" i="5" s="1"/>
  <c r="Q140" i="5"/>
  <c r="M140" i="5"/>
  <c r="DR139" i="5"/>
  <c r="DP139" i="5"/>
  <c r="DO139" i="5"/>
  <c r="DN139" i="5"/>
  <c r="DM139" i="5"/>
  <c r="DL139" i="5"/>
  <c r="DK139" i="5"/>
  <c r="DJ139" i="5"/>
  <c r="DH139" i="5"/>
  <c r="DG139" i="5"/>
  <c r="DE139" i="5"/>
  <c r="DD139" i="5"/>
  <c r="DC139" i="5"/>
  <c r="CF139" i="5"/>
  <c r="CB139" i="5"/>
  <c r="BZ139" i="5"/>
  <c r="BY139" i="5"/>
  <c r="BW139" i="5"/>
  <c r="BV139" i="5"/>
  <c r="BU139" i="5"/>
  <c r="BT139" i="5"/>
  <c r="BS139" i="5"/>
  <c r="BR139" i="5"/>
  <c r="BQ139" i="5"/>
  <c r="BP139" i="5"/>
  <c r="BO139" i="5"/>
  <c r="BM139" i="5"/>
  <c r="BL139" i="5"/>
  <c r="BK139" i="5"/>
  <c r="BH139" i="5"/>
  <c r="BG139" i="5"/>
  <c r="AN139" i="5"/>
  <c r="Q139" i="5"/>
  <c r="M139" i="5" s="1"/>
  <c r="DR138" i="5"/>
  <c r="DP138" i="5"/>
  <c r="DO138" i="5"/>
  <c r="DN138" i="5"/>
  <c r="DM138" i="5"/>
  <c r="DL138" i="5"/>
  <c r="DK138" i="5"/>
  <c r="DJ138" i="5"/>
  <c r="DH138" i="5"/>
  <c r="DG138" i="5"/>
  <c r="DE138" i="5"/>
  <c r="DD138" i="5"/>
  <c r="DC138" i="5"/>
  <c r="DB138" i="5"/>
  <c r="CX138" i="5" s="1"/>
  <c r="CB138" i="5"/>
  <c r="BZ138" i="5"/>
  <c r="BY138" i="5"/>
  <c r="BW138" i="5"/>
  <c r="BV138" i="5"/>
  <c r="BU138" i="5"/>
  <c r="BT138" i="5"/>
  <c r="BS138" i="5"/>
  <c r="BR138" i="5"/>
  <c r="BQ138" i="5"/>
  <c r="BP138" i="5"/>
  <c r="BO138" i="5"/>
  <c r="BM138" i="5"/>
  <c r="BL138" i="5"/>
  <c r="BK138" i="5"/>
  <c r="BJ138" i="5"/>
  <c r="BH138" i="5"/>
  <c r="BG138" i="5"/>
  <c r="AJ138" i="5"/>
  <c r="AI138" i="5" s="1"/>
  <c r="BE138" i="5" s="1"/>
  <c r="Q138" i="5"/>
  <c r="M138" i="5"/>
  <c r="DR137" i="5"/>
  <c r="DP137" i="5"/>
  <c r="DO137" i="5"/>
  <c r="DN137" i="5"/>
  <c r="DM137" i="5"/>
  <c r="DL137" i="5"/>
  <c r="DK137" i="5"/>
  <c r="DJ137" i="5"/>
  <c r="DH137" i="5"/>
  <c r="DG137" i="5"/>
  <c r="DE137" i="5"/>
  <c r="DD137" i="5"/>
  <c r="DC137" i="5"/>
  <c r="DB137" i="5"/>
  <c r="CX137" i="5"/>
  <c r="CB137" i="5"/>
  <c r="BZ137" i="5"/>
  <c r="BY137" i="5"/>
  <c r="BW137" i="5"/>
  <c r="BV137" i="5"/>
  <c r="BU137" i="5"/>
  <c r="BT137" i="5"/>
  <c r="BS137" i="5"/>
  <c r="BR137" i="5"/>
  <c r="BQ137" i="5"/>
  <c r="BP137" i="5"/>
  <c r="BO137" i="5"/>
  <c r="BM137" i="5"/>
  <c r="BL137" i="5"/>
  <c r="BK137" i="5"/>
  <c r="BJ137" i="5"/>
  <c r="BH137" i="5"/>
  <c r="BG137" i="5"/>
  <c r="AJ137" i="5"/>
  <c r="AI137" i="5"/>
  <c r="BE137" i="5" s="1"/>
  <c r="Q137" i="5"/>
  <c r="M137" i="5"/>
  <c r="DR136" i="5"/>
  <c r="DP136" i="5"/>
  <c r="DO136" i="5"/>
  <c r="DN136" i="5"/>
  <c r="DM136" i="5"/>
  <c r="DL136" i="5"/>
  <c r="DK136" i="5"/>
  <c r="DJ136" i="5"/>
  <c r="DH136" i="5"/>
  <c r="DG136" i="5"/>
  <c r="DE136" i="5"/>
  <c r="DD136" i="5"/>
  <c r="DC136" i="5"/>
  <c r="DB136" i="5"/>
  <c r="CX136" i="5" s="1"/>
  <c r="CB136" i="5"/>
  <c r="BZ136" i="5"/>
  <c r="BY136" i="5"/>
  <c r="BW136" i="5"/>
  <c r="BV136" i="5"/>
  <c r="BU136" i="5"/>
  <c r="BT136" i="5"/>
  <c r="BS136" i="5"/>
  <c r="BR136" i="5"/>
  <c r="BQ136" i="5"/>
  <c r="BP136" i="5"/>
  <c r="BO136" i="5"/>
  <c r="BM136" i="5"/>
  <c r="BL136" i="5"/>
  <c r="BK136" i="5"/>
  <c r="BH136" i="5"/>
  <c r="BG136" i="5"/>
  <c r="BF136" i="5" s="1"/>
  <c r="AJ136" i="5"/>
  <c r="Q136" i="5"/>
  <c r="BJ136" i="5" s="1"/>
  <c r="H136" i="5"/>
  <c r="DR135" i="5"/>
  <c r="DP135" i="5"/>
  <c r="DO135" i="5"/>
  <c r="DN135" i="5"/>
  <c r="DM135" i="5"/>
  <c r="DL135" i="5"/>
  <c r="DK135" i="5"/>
  <c r="DJ135" i="5"/>
  <c r="DH135" i="5"/>
  <c r="DG135" i="5"/>
  <c r="DE135" i="5"/>
  <c r="DD135" i="5"/>
  <c r="DC135" i="5"/>
  <c r="CB135" i="5"/>
  <c r="BZ135" i="5"/>
  <c r="BY135" i="5"/>
  <c r="BW135" i="5"/>
  <c r="BV135" i="5"/>
  <c r="BU135" i="5"/>
  <c r="BT135" i="5"/>
  <c r="BS135" i="5"/>
  <c r="BR135" i="5"/>
  <c r="BQ135" i="5"/>
  <c r="BP135" i="5"/>
  <c r="BO135" i="5"/>
  <c r="BM135" i="5"/>
  <c r="BL135" i="5"/>
  <c r="BK135" i="5"/>
  <c r="BH135" i="5"/>
  <c r="BG135" i="5"/>
  <c r="AJ135" i="5"/>
  <c r="Q135" i="5"/>
  <c r="M135" i="5"/>
  <c r="DR134" i="5"/>
  <c r="DP134" i="5"/>
  <c r="DO134" i="5"/>
  <c r="DN134" i="5"/>
  <c r="DM134" i="5"/>
  <c r="DL134" i="5"/>
  <c r="DK134" i="5"/>
  <c r="DJ134" i="5"/>
  <c r="DH134" i="5"/>
  <c r="DG134" i="5"/>
  <c r="DE134" i="5"/>
  <c r="DD134" i="5"/>
  <c r="DC134" i="5"/>
  <c r="DB134" i="5"/>
  <c r="CX134" i="5" s="1"/>
  <c r="CB134" i="5"/>
  <c r="BZ134" i="5"/>
  <c r="BY134" i="5"/>
  <c r="BW134" i="5"/>
  <c r="BV134" i="5"/>
  <c r="BU134" i="5"/>
  <c r="BT134" i="5"/>
  <c r="BS134" i="5"/>
  <c r="BR134" i="5"/>
  <c r="BQ134" i="5"/>
  <c r="BP134" i="5"/>
  <c r="BO134" i="5"/>
  <c r="BM134" i="5"/>
  <c r="BL134" i="5"/>
  <c r="BK134" i="5"/>
  <c r="BH134" i="5"/>
  <c r="BG134" i="5"/>
  <c r="AN134" i="5"/>
  <c r="Q134" i="5"/>
  <c r="M134" i="5" s="1"/>
  <c r="DR133" i="5"/>
  <c r="DP133" i="5"/>
  <c r="DO133" i="5"/>
  <c r="DN133" i="5"/>
  <c r="DM133" i="5"/>
  <c r="DL133" i="5"/>
  <c r="DK133" i="5"/>
  <c r="DJ133" i="5"/>
  <c r="DH133" i="5"/>
  <c r="DG133" i="5"/>
  <c r="DE133" i="5"/>
  <c r="DD133" i="5"/>
  <c r="DC133" i="5"/>
  <c r="DB133" i="5"/>
  <c r="CB133" i="5"/>
  <c r="BZ133" i="5"/>
  <c r="BY133" i="5"/>
  <c r="BW133" i="5"/>
  <c r="BV133" i="5"/>
  <c r="BU133" i="5"/>
  <c r="BT133" i="5"/>
  <c r="BS133" i="5"/>
  <c r="BR133" i="5"/>
  <c r="BQ133" i="5"/>
  <c r="BP133" i="5"/>
  <c r="BO133" i="5"/>
  <c r="BM133" i="5"/>
  <c r="BL133" i="5"/>
  <c r="BK133" i="5"/>
  <c r="BJ133" i="5"/>
  <c r="BF133" i="5" s="1"/>
  <c r="BH133" i="5"/>
  <c r="BG133" i="5"/>
  <c r="AJ133" i="5"/>
  <c r="Q133" i="5"/>
  <c r="M133" i="5"/>
  <c r="DR132" i="5"/>
  <c r="DP132" i="5"/>
  <c r="DO132" i="5"/>
  <c r="DN132" i="5"/>
  <c r="DM132" i="5"/>
  <c r="DL132" i="5"/>
  <c r="DK132" i="5"/>
  <c r="DJ132" i="5"/>
  <c r="DH132" i="5"/>
  <c r="DG132" i="5"/>
  <c r="DE132" i="5"/>
  <c r="DD132" i="5"/>
  <c r="DC132" i="5"/>
  <c r="DB132" i="5"/>
  <c r="CX132" i="5"/>
  <c r="CB132" i="5"/>
  <c r="BZ132" i="5"/>
  <c r="BY132" i="5"/>
  <c r="BW132" i="5"/>
  <c r="BV132" i="5"/>
  <c r="BU132" i="5"/>
  <c r="BT132" i="5"/>
  <c r="BS132" i="5"/>
  <c r="BR132" i="5"/>
  <c r="BQ132" i="5"/>
  <c r="BP132" i="5"/>
  <c r="BO132" i="5"/>
  <c r="BM132" i="5"/>
  <c r="BL132" i="5"/>
  <c r="BK132" i="5"/>
  <c r="BJ132" i="5"/>
  <c r="BH132" i="5"/>
  <c r="BG132" i="5"/>
  <c r="BF132" i="5" s="1"/>
  <c r="AJ132" i="5"/>
  <c r="AI132" i="5" s="1"/>
  <c r="BE132" i="5" s="1"/>
  <c r="Q132" i="5"/>
  <c r="M132" i="5"/>
  <c r="DR131" i="5"/>
  <c r="DP131" i="5"/>
  <c r="DO131" i="5"/>
  <c r="DN131" i="5"/>
  <c r="DM131" i="5"/>
  <c r="DL131" i="5"/>
  <c r="DK131" i="5"/>
  <c r="DJ131" i="5"/>
  <c r="DH131" i="5"/>
  <c r="DG131" i="5"/>
  <c r="DE131" i="5"/>
  <c r="CX131" i="5" s="1"/>
  <c r="DD131" i="5"/>
  <c r="DC131" i="5"/>
  <c r="DB131" i="5"/>
  <c r="CB131" i="5"/>
  <c r="BZ131" i="5"/>
  <c r="BY131" i="5"/>
  <c r="BW131" i="5"/>
  <c r="BV131" i="5"/>
  <c r="BU131" i="5"/>
  <c r="BT131" i="5"/>
  <c r="BS131" i="5"/>
  <c r="BR131" i="5"/>
  <c r="BQ131" i="5"/>
  <c r="BP131" i="5"/>
  <c r="BO131" i="5"/>
  <c r="BM131" i="5"/>
  <c r="BL131" i="5"/>
  <c r="BK131" i="5"/>
  <c r="BH131" i="5"/>
  <c r="BG131" i="5"/>
  <c r="AJ131" i="5"/>
  <c r="Q131" i="5"/>
  <c r="H131" i="5"/>
  <c r="DR130" i="5"/>
  <c r="DP130" i="5"/>
  <c r="DO130" i="5"/>
  <c r="DN130" i="5"/>
  <c r="DM130" i="5"/>
  <c r="DL130" i="5"/>
  <c r="DK130" i="5"/>
  <c r="DJ130" i="5"/>
  <c r="DI130" i="5"/>
  <c r="DH130" i="5"/>
  <c r="DG130" i="5"/>
  <c r="DE130" i="5"/>
  <c r="DD130" i="5"/>
  <c r="DC130" i="5"/>
  <c r="DB130" i="5"/>
  <c r="CB130" i="5"/>
  <c r="BZ130" i="5"/>
  <c r="BY130" i="5"/>
  <c r="BW130" i="5"/>
  <c r="BV130" i="5"/>
  <c r="BU130" i="5"/>
  <c r="BT130" i="5"/>
  <c r="BS130" i="5"/>
  <c r="BR130" i="5"/>
  <c r="BQ130" i="5"/>
  <c r="BP130" i="5"/>
  <c r="BO130" i="5"/>
  <c r="BM130" i="5"/>
  <c r="BL130" i="5"/>
  <c r="BK130" i="5"/>
  <c r="BJ130" i="5"/>
  <c r="BH130" i="5"/>
  <c r="BG130" i="5"/>
  <c r="BF130" i="5" s="1"/>
  <c r="AJ130" i="5"/>
  <c r="M130" i="5"/>
  <c r="CA130" i="5" s="1"/>
  <c r="CW130" i="5" s="1"/>
  <c r="H130" i="5"/>
  <c r="DR129" i="5"/>
  <c r="DP129" i="5"/>
  <c r="DO129" i="5"/>
  <c r="DN129" i="5"/>
  <c r="DM129" i="5"/>
  <c r="DL129" i="5"/>
  <c r="DK129" i="5"/>
  <c r="DJ129" i="5"/>
  <c r="DI129" i="5"/>
  <c r="DH129" i="5"/>
  <c r="DG129" i="5"/>
  <c r="DE129" i="5"/>
  <c r="DD129" i="5"/>
  <c r="DC129" i="5"/>
  <c r="CB129" i="5"/>
  <c r="BZ129" i="5"/>
  <c r="BY129" i="5"/>
  <c r="BX129" i="5"/>
  <c r="BW129" i="5"/>
  <c r="BV129" i="5"/>
  <c r="BU129" i="5"/>
  <c r="BT129" i="5"/>
  <c r="BS129" i="5"/>
  <c r="BR129" i="5"/>
  <c r="BQ129" i="5"/>
  <c r="BP129" i="5"/>
  <c r="BO129" i="5"/>
  <c r="BM129" i="5"/>
  <c r="BL129" i="5"/>
  <c r="BK129" i="5"/>
  <c r="BH129" i="5"/>
  <c r="BG129" i="5"/>
  <c r="AJ129" i="5"/>
  <c r="Q129" i="5"/>
  <c r="DR128" i="5"/>
  <c r="DP128" i="5"/>
  <c r="DO128" i="5"/>
  <c r="DN128" i="5"/>
  <c r="DM128" i="5"/>
  <c r="DL128" i="5"/>
  <c r="DK128" i="5"/>
  <c r="DJ128" i="5"/>
  <c r="DH128" i="5"/>
  <c r="DG128" i="5"/>
  <c r="DE128" i="5"/>
  <c r="DD128" i="5"/>
  <c r="DC128" i="5"/>
  <c r="DB128" i="5"/>
  <c r="CB128" i="5"/>
  <c r="BZ128" i="5"/>
  <c r="BW128" i="5"/>
  <c r="BV128" i="5"/>
  <c r="BU128" i="5"/>
  <c r="BT128" i="5"/>
  <c r="BS128" i="5"/>
  <c r="BR128" i="5"/>
  <c r="BQ128" i="5"/>
  <c r="BP128" i="5"/>
  <c r="BO128" i="5"/>
  <c r="BM128" i="5"/>
  <c r="BL128" i="5"/>
  <c r="BK128" i="5"/>
  <c r="BJ128" i="5"/>
  <c r="BH128" i="5"/>
  <c r="BG128" i="5"/>
  <c r="BF128" i="5"/>
  <c r="AJ128" i="5"/>
  <c r="Q128" i="5"/>
  <c r="M128" i="5"/>
  <c r="DR127" i="5"/>
  <c r="DP127" i="5"/>
  <c r="DO127" i="5"/>
  <c r="DN127" i="5"/>
  <c r="DM127" i="5"/>
  <c r="DL127" i="5"/>
  <c r="DK127" i="5"/>
  <c r="DJ127" i="5"/>
  <c r="DH127" i="5"/>
  <c r="DG127" i="5"/>
  <c r="DE127" i="5"/>
  <c r="DD127" i="5"/>
  <c r="CG127" i="5"/>
  <c r="CG187" i="5" s="1"/>
  <c r="CF127" i="5"/>
  <c r="DB127" i="5" s="1"/>
  <c r="BZ127" i="5"/>
  <c r="BW127" i="5"/>
  <c r="BV127" i="5"/>
  <c r="BU127" i="5"/>
  <c r="BT127" i="5"/>
  <c r="BS127" i="5"/>
  <c r="BR127" i="5"/>
  <c r="BQ127" i="5"/>
  <c r="BP127" i="5"/>
  <c r="BO127" i="5"/>
  <c r="BM127" i="5"/>
  <c r="BL127" i="5"/>
  <c r="BH127" i="5"/>
  <c r="BG127" i="5"/>
  <c r="AO127" i="5"/>
  <c r="AO191" i="5" s="1"/>
  <c r="AN127" i="5"/>
  <c r="BJ127" i="5" s="1"/>
  <c r="R127" i="5"/>
  <c r="Q127" i="5"/>
  <c r="DR126" i="5"/>
  <c r="DP126" i="5"/>
  <c r="DO126" i="5"/>
  <c r="DN126" i="5"/>
  <c r="DM126" i="5"/>
  <c r="DL126" i="5"/>
  <c r="DK126" i="5"/>
  <c r="DJ126" i="5"/>
  <c r="DH126" i="5"/>
  <c r="DG126" i="5"/>
  <c r="DE126" i="5"/>
  <c r="DD126" i="5"/>
  <c r="DC126" i="5"/>
  <c r="CB126" i="5"/>
  <c r="BZ126" i="5"/>
  <c r="BW126" i="5"/>
  <c r="BV126" i="5"/>
  <c r="BU126" i="5"/>
  <c r="BT126" i="5"/>
  <c r="BS126" i="5"/>
  <c r="BR126" i="5"/>
  <c r="BQ126" i="5"/>
  <c r="BP126" i="5"/>
  <c r="BO126" i="5"/>
  <c r="BM126" i="5"/>
  <c r="BL126" i="5"/>
  <c r="BK126" i="5"/>
  <c r="BH126" i="5"/>
  <c r="BG126" i="5"/>
  <c r="AN126" i="5"/>
  <c r="Q126" i="5"/>
  <c r="H126" i="5"/>
  <c r="DR125" i="5"/>
  <c r="DP125" i="5"/>
  <c r="DO125" i="5"/>
  <c r="DN125" i="5"/>
  <c r="DM125" i="5"/>
  <c r="DL125" i="5"/>
  <c r="DK125" i="5"/>
  <c r="DJ125" i="5"/>
  <c r="DH125" i="5"/>
  <c r="DG125" i="5"/>
  <c r="DE125" i="5"/>
  <c r="DD125" i="5"/>
  <c r="DC125" i="5"/>
  <c r="CX125" i="5" s="1"/>
  <c r="DB125" i="5"/>
  <c r="CB125" i="5"/>
  <c r="BZ125" i="5"/>
  <c r="BW125" i="5"/>
  <c r="BV125" i="5"/>
  <c r="BU125" i="5"/>
  <c r="BT125" i="5"/>
  <c r="BS125" i="5"/>
  <c r="BR125" i="5"/>
  <c r="BQ125" i="5"/>
  <c r="BP125" i="5"/>
  <c r="BO125" i="5"/>
  <c r="BM125" i="5"/>
  <c r="BL125" i="5"/>
  <c r="BK125" i="5"/>
  <c r="BJ125" i="5"/>
  <c r="BH125" i="5"/>
  <c r="BG125" i="5"/>
  <c r="BF125" i="5" s="1"/>
  <c r="AJ125" i="5"/>
  <c r="M125" i="5"/>
  <c r="DR124" i="5"/>
  <c r="DP124" i="5"/>
  <c r="DO124" i="5"/>
  <c r="DN124" i="5"/>
  <c r="DM124" i="5"/>
  <c r="DL124" i="5"/>
  <c r="DK124" i="5"/>
  <c r="DJ124" i="5"/>
  <c r="DH124" i="5"/>
  <c r="DG124" i="5"/>
  <c r="DE124" i="5"/>
  <c r="DD124" i="5"/>
  <c r="DC124" i="5"/>
  <c r="CB124" i="5"/>
  <c r="BZ124" i="5"/>
  <c r="BW124" i="5"/>
  <c r="BV124" i="5"/>
  <c r="BU124" i="5"/>
  <c r="BT124" i="5"/>
  <c r="BS124" i="5"/>
  <c r="BR124" i="5"/>
  <c r="BQ124" i="5"/>
  <c r="BP124" i="5"/>
  <c r="BO124" i="5"/>
  <c r="BM124" i="5"/>
  <c r="BK124" i="5"/>
  <c r="BH124" i="5"/>
  <c r="BG124" i="5"/>
  <c r="AJ124" i="5"/>
  <c r="S124" i="5"/>
  <c r="Q124" i="5"/>
  <c r="H124" i="5"/>
  <c r="DR123" i="5"/>
  <c r="DP123" i="5"/>
  <c r="DO123" i="5"/>
  <c r="DN123" i="5"/>
  <c r="DM123" i="5"/>
  <c r="DL123" i="5"/>
  <c r="DK123" i="5"/>
  <c r="DJ123" i="5"/>
  <c r="DH123" i="5"/>
  <c r="DG123" i="5"/>
  <c r="DE123" i="5"/>
  <c r="DC123" i="5"/>
  <c r="DB123" i="5"/>
  <c r="CH123" i="5"/>
  <c r="BZ123" i="5"/>
  <c r="BW123" i="5"/>
  <c r="BV123" i="5"/>
  <c r="BU123" i="5"/>
  <c r="BT123" i="5"/>
  <c r="BS123" i="5"/>
  <c r="BR123" i="5"/>
  <c r="BQ123" i="5"/>
  <c r="BP123" i="5"/>
  <c r="BO123" i="5"/>
  <c r="BM123" i="5"/>
  <c r="BK123" i="5"/>
  <c r="BJ123" i="5"/>
  <c r="BH123" i="5"/>
  <c r="BG123" i="5"/>
  <c r="AP123" i="5"/>
  <c r="BL123" i="5" s="1"/>
  <c r="M123" i="5"/>
  <c r="DR122" i="5"/>
  <c r="DP122" i="5"/>
  <c r="DO122" i="5"/>
  <c r="DN122" i="5"/>
  <c r="DM122" i="5"/>
  <c r="DL122" i="5"/>
  <c r="DK122" i="5"/>
  <c r="DJ122" i="5"/>
  <c r="DH122" i="5"/>
  <c r="DH187" i="5" s="1"/>
  <c r="DG122" i="5"/>
  <c r="DE122" i="5"/>
  <c r="DC122" i="5"/>
  <c r="DB122" i="5"/>
  <c r="CH122" i="5"/>
  <c r="CB122" i="5" s="1"/>
  <c r="BZ122" i="5"/>
  <c r="BW122" i="5"/>
  <c r="BV122" i="5"/>
  <c r="BU122" i="5"/>
  <c r="BT122" i="5"/>
  <c r="BS122" i="5"/>
  <c r="BR122" i="5"/>
  <c r="BQ122" i="5"/>
  <c r="BP122" i="5"/>
  <c r="BO122" i="5"/>
  <c r="BM122" i="5"/>
  <c r="BK122" i="5"/>
  <c r="BJ122" i="5"/>
  <c r="BH122" i="5"/>
  <c r="BG122" i="5"/>
  <c r="AP122" i="5"/>
  <c r="M122" i="5"/>
  <c r="DQ121" i="5"/>
  <c r="DP121" i="5"/>
  <c r="DI121" i="5"/>
  <c r="DF121" i="5"/>
  <c r="DC121" i="5"/>
  <c r="CZ121" i="5"/>
  <c r="CU121" i="5"/>
  <c r="CT121" i="5"/>
  <c r="CO121" i="5"/>
  <c r="CN121" i="5"/>
  <c r="CM121" i="5"/>
  <c r="CL121" i="5"/>
  <c r="CK121" i="5"/>
  <c r="CI121" i="5"/>
  <c r="CH121" i="5"/>
  <c r="CF121" i="5"/>
  <c r="CD121" i="5"/>
  <c r="BY121" i="5"/>
  <c r="BX121" i="5"/>
  <c r="BN121" i="5"/>
  <c r="BK121" i="5"/>
  <c r="BH121" i="5"/>
  <c r="BC121" i="5"/>
  <c r="BB121" i="5"/>
  <c r="AW121" i="5"/>
  <c r="AV121" i="5"/>
  <c r="AU121" i="5"/>
  <c r="AT121" i="5"/>
  <c r="AS121" i="5"/>
  <c r="AR121" i="5"/>
  <c r="AQ121" i="5"/>
  <c r="AP121" i="5"/>
  <c r="AN121" i="5"/>
  <c r="AL121" i="5"/>
  <c r="AG121" i="5"/>
  <c r="AF121" i="5"/>
  <c r="AE121" i="5"/>
  <c r="AD121" i="5"/>
  <c r="AC121" i="5"/>
  <c r="AB121" i="5"/>
  <c r="Z121" i="5"/>
  <c r="Y121" i="5"/>
  <c r="X121" i="5"/>
  <c r="W121" i="5"/>
  <c r="V121" i="5"/>
  <c r="U121" i="5"/>
  <c r="T121" i="5"/>
  <c r="S121" i="5"/>
  <c r="R121" i="5"/>
  <c r="Q121" i="5"/>
  <c r="P121" i="5"/>
  <c r="N121" i="5"/>
  <c r="G121" i="5"/>
  <c r="DR120" i="5"/>
  <c r="DP120" i="5"/>
  <c r="DO120" i="5"/>
  <c r="DN120" i="5"/>
  <c r="DM120" i="5"/>
  <c r="DK120" i="5"/>
  <c r="DJ120" i="5"/>
  <c r="DH120" i="5"/>
  <c r="DG120" i="5"/>
  <c r="DE120" i="5"/>
  <c r="DD120" i="5"/>
  <c r="DB120" i="5"/>
  <c r="CY120" i="5"/>
  <c r="CP120" i="5"/>
  <c r="DL120" i="5" s="1"/>
  <c r="BZ120" i="5"/>
  <c r="BW120" i="5"/>
  <c r="BV120" i="5"/>
  <c r="BU120" i="5"/>
  <c r="BS120" i="5"/>
  <c r="BR120" i="5"/>
  <c r="BM120" i="5"/>
  <c r="BL120" i="5"/>
  <c r="BJ120" i="5"/>
  <c r="BH120" i="5"/>
  <c r="BG120" i="5"/>
  <c r="AX120" i="5"/>
  <c r="M120" i="5"/>
  <c r="DR119" i="5"/>
  <c r="DP119" i="5"/>
  <c r="DN119" i="5"/>
  <c r="DL119" i="5"/>
  <c r="DK119" i="5"/>
  <c r="DJ119" i="5"/>
  <c r="DH119" i="5"/>
  <c r="DG119" i="5"/>
  <c r="DE119" i="5"/>
  <c r="DD119" i="5"/>
  <c r="DB119" i="5"/>
  <c r="CY119" i="5"/>
  <c r="CS119" i="5"/>
  <c r="DO119" i="5" s="1"/>
  <c r="CQ119" i="5"/>
  <c r="DM119" i="5" s="1"/>
  <c r="CB119" i="5"/>
  <c r="BZ119" i="5"/>
  <c r="BV119" i="5"/>
  <c r="BT119" i="5"/>
  <c r="BS119" i="5"/>
  <c r="BR119" i="5"/>
  <c r="BM119" i="5"/>
  <c r="BL119" i="5"/>
  <c r="BJ119" i="5"/>
  <c r="BH119" i="5"/>
  <c r="BG119" i="5"/>
  <c r="BA119" i="5"/>
  <c r="BW119" i="5" s="1"/>
  <c r="AY119" i="5"/>
  <c r="BU119" i="5" s="1"/>
  <c r="AJ119" i="5"/>
  <c r="AI119" i="5" s="1"/>
  <c r="BE119" i="5" s="1"/>
  <c r="M119" i="5"/>
  <c r="DR118" i="5"/>
  <c r="DP118" i="5"/>
  <c r="DN118" i="5"/>
  <c r="DM118" i="5"/>
  <c r="DL118" i="5"/>
  <c r="DK118" i="5"/>
  <c r="DJ118" i="5"/>
  <c r="DH118" i="5"/>
  <c r="DG118" i="5"/>
  <c r="DE118" i="5"/>
  <c r="DD118" i="5"/>
  <c r="DB118" i="5"/>
  <c r="CY118" i="5"/>
  <c r="CX118" i="5" s="1"/>
  <c r="CS118" i="5"/>
  <c r="DO118" i="5" s="1"/>
  <c r="BZ118" i="5"/>
  <c r="BV118" i="5"/>
  <c r="BU118" i="5"/>
  <c r="BT118" i="5"/>
  <c r="BS118" i="5"/>
  <c r="BR118" i="5"/>
  <c r="BM118" i="5"/>
  <c r="BL118" i="5"/>
  <c r="BJ118" i="5"/>
  <c r="BH118" i="5"/>
  <c r="BG118" i="5"/>
  <c r="BE118" i="5"/>
  <c r="BA118" i="5"/>
  <c r="AJ118" i="5" s="1"/>
  <c r="AI118" i="5" s="1"/>
  <c r="M118" i="5"/>
  <c r="DR117" i="5"/>
  <c r="DP117" i="5"/>
  <c r="DK117" i="5"/>
  <c r="DJ117" i="5"/>
  <c r="DH117" i="5"/>
  <c r="DG117" i="5"/>
  <c r="DE117" i="5"/>
  <c r="DD117" i="5"/>
  <c r="DB117" i="5"/>
  <c r="CS117" i="5"/>
  <c r="DO117" i="5" s="1"/>
  <c r="CR117" i="5"/>
  <c r="CQ117" i="5"/>
  <c r="DM117" i="5" s="1"/>
  <c r="CP117" i="5"/>
  <c r="DL117" i="5" s="1"/>
  <c r="CC117" i="5"/>
  <c r="BZ117" i="5"/>
  <c r="BS117" i="5"/>
  <c r="BR117" i="5"/>
  <c r="BM117" i="5"/>
  <c r="BL117" i="5"/>
  <c r="BJ117" i="5"/>
  <c r="BH117" i="5"/>
  <c r="BA117" i="5"/>
  <c r="BW117" i="5" s="1"/>
  <c r="AZ117" i="5"/>
  <c r="AZ198" i="5" s="1"/>
  <c r="AY117" i="5"/>
  <c r="BU117" i="5" s="1"/>
  <c r="AX117" i="5"/>
  <c r="BT117" i="5" s="1"/>
  <c r="AK117" i="5"/>
  <c r="BG117" i="5" s="1"/>
  <c r="M117" i="5"/>
  <c r="DP116" i="5"/>
  <c r="DO116" i="5"/>
  <c r="DN116" i="5"/>
  <c r="DM116" i="5"/>
  <c r="DL116" i="5"/>
  <c r="DK116" i="5"/>
  <c r="DJ116" i="5"/>
  <c r="DH116" i="5"/>
  <c r="DG116" i="5"/>
  <c r="DE116" i="5"/>
  <c r="DD116" i="5"/>
  <c r="DB116" i="5"/>
  <c r="CY116" i="5"/>
  <c r="CV116" i="5"/>
  <c r="CB116" i="5" s="1"/>
  <c r="H116" i="5" s="1"/>
  <c r="BW116" i="5"/>
  <c r="BV116" i="5"/>
  <c r="BU116" i="5"/>
  <c r="BT116" i="5"/>
  <c r="BS116" i="5"/>
  <c r="BR116" i="5"/>
  <c r="BM116" i="5"/>
  <c r="BL116" i="5"/>
  <c r="BJ116" i="5"/>
  <c r="BH116" i="5"/>
  <c r="BG116" i="5"/>
  <c r="BD116" i="5"/>
  <c r="AX116" i="5"/>
  <c r="AG116" i="5"/>
  <c r="AA116" i="5"/>
  <c r="M116" i="5"/>
  <c r="DP115" i="5"/>
  <c r="DO115" i="5"/>
  <c r="DN115" i="5"/>
  <c r="DM115" i="5"/>
  <c r="DK115" i="5"/>
  <c r="DJ115" i="5"/>
  <c r="DH115" i="5"/>
  <c r="DG115" i="5"/>
  <c r="DE115" i="5"/>
  <c r="DD115" i="5"/>
  <c r="DB115" i="5"/>
  <c r="CY115" i="5"/>
  <c r="CV115" i="5"/>
  <c r="DR115" i="5" s="1"/>
  <c r="CP115" i="5"/>
  <c r="CB115" i="5" s="1"/>
  <c r="BZ115" i="5"/>
  <c r="BW115" i="5"/>
  <c r="BV115" i="5"/>
  <c r="BU115" i="5"/>
  <c r="BS115" i="5"/>
  <c r="BR115" i="5"/>
  <c r="BQ115" i="5"/>
  <c r="BP115" i="5"/>
  <c r="BO115" i="5"/>
  <c r="BM115" i="5"/>
  <c r="BL115" i="5"/>
  <c r="BJ115" i="5"/>
  <c r="BH115" i="5"/>
  <c r="BG115" i="5"/>
  <c r="BD115" i="5"/>
  <c r="AX115" i="5"/>
  <c r="AG115" i="5"/>
  <c r="M115" i="5"/>
  <c r="DR114" i="5"/>
  <c r="DP114" i="5"/>
  <c r="DO114" i="5"/>
  <c r="DN114" i="5"/>
  <c r="DM114" i="5"/>
  <c r="DK114" i="5"/>
  <c r="DJ114" i="5"/>
  <c r="DH114" i="5"/>
  <c r="DG114" i="5"/>
  <c r="DE114" i="5"/>
  <c r="DD114" i="5"/>
  <c r="DB114" i="5"/>
  <c r="CY114" i="5"/>
  <c r="CV114" i="5"/>
  <c r="CP114" i="5"/>
  <c r="BW114" i="5"/>
  <c r="BV114" i="5"/>
  <c r="BU114" i="5"/>
  <c r="BS114" i="5"/>
  <c r="BR114" i="5"/>
  <c r="BQ114" i="5"/>
  <c r="BP114" i="5"/>
  <c r="BO114" i="5"/>
  <c r="BM114" i="5"/>
  <c r="BL114" i="5"/>
  <c r="BJ114" i="5"/>
  <c r="BH114" i="5"/>
  <c r="BG114" i="5"/>
  <c r="BD114" i="5"/>
  <c r="AX114" i="5"/>
  <c r="BT114" i="5" s="1"/>
  <c r="AG114" i="5"/>
  <c r="M114" i="5" s="1"/>
  <c r="DN113" i="5"/>
  <c r="CX113" i="5" s="1"/>
  <c r="CB113" i="5"/>
  <c r="CA113" i="5"/>
  <c r="CW113" i="5" s="1"/>
  <c r="BV113" i="5"/>
  <c r="BF113" i="5"/>
  <c r="AJ113" i="5"/>
  <c r="AI113" i="5" s="1"/>
  <c r="BE113" i="5" s="1"/>
  <c r="M113" i="5"/>
  <c r="H113" i="5"/>
  <c r="I113" i="5" s="1"/>
  <c r="DR112" i="5"/>
  <c r="DD112" i="5"/>
  <c r="CY112" i="5"/>
  <c r="CQ112" i="5"/>
  <c r="BZ112" i="5"/>
  <c r="BV112" i="5"/>
  <c r="BU112" i="5"/>
  <c r="BT112" i="5"/>
  <c r="BS112" i="5"/>
  <c r="BJ112" i="5"/>
  <c r="BH112" i="5"/>
  <c r="BG112" i="5"/>
  <c r="AY112" i="5"/>
  <c r="M112" i="5"/>
  <c r="DR111" i="5"/>
  <c r="DM111" i="5"/>
  <c r="DD111" i="5"/>
  <c r="CC111" i="5"/>
  <c r="CY111" i="5" s="1"/>
  <c r="CX111" i="5" s="1"/>
  <c r="BZ111" i="5"/>
  <c r="BV111" i="5"/>
  <c r="BU111" i="5"/>
  <c r="BT111" i="5"/>
  <c r="BS111" i="5"/>
  <c r="BJ111" i="5"/>
  <c r="BH111" i="5"/>
  <c r="BG111" i="5"/>
  <c r="AK111" i="5"/>
  <c r="AJ111" i="5"/>
  <c r="AI111" i="5"/>
  <c r="BE111" i="5" s="1"/>
  <c r="M111" i="5"/>
  <c r="DR110" i="5"/>
  <c r="DP110" i="5"/>
  <c r="DO110" i="5"/>
  <c r="DN110" i="5"/>
  <c r="DM110" i="5"/>
  <c r="DL110" i="5"/>
  <c r="DK110" i="5"/>
  <c r="DJ110" i="5"/>
  <c r="DH110" i="5"/>
  <c r="DG110" i="5"/>
  <c r="DE110" i="5"/>
  <c r="DE121" i="5" s="1"/>
  <c r="DD110" i="5"/>
  <c r="DB110" i="5"/>
  <c r="CY110" i="5"/>
  <c r="CB110" i="5"/>
  <c r="H110" i="5" s="1"/>
  <c r="CA110" i="5"/>
  <c r="CW110" i="5" s="1"/>
  <c r="BZ110" i="5"/>
  <c r="BV110" i="5"/>
  <c r="BU110" i="5"/>
  <c r="BS110" i="5"/>
  <c r="BR110" i="5"/>
  <c r="BQ110" i="5"/>
  <c r="BP110" i="5"/>
  <c r="BO110" i="5"/>
  <c r="BM110" i="5"/>
  <c r="BL110" i="5"/>
  <c r="BJ110" i="5"/>
  <c r="BH110" i="5"/>
  <c r="BG110" i="5"/>
  <c r="BA110" i="5"/>
  <c r="BW110" i="5" s="1"/>
  <c r="AX110" i="5"/>
  <c r="M110" i="5"/>
  <c r="I110" i="5"/>
  <c r="DR109" i="5"/>
  <c r="DP109" i="5"/>
  <c r="DO109" i="5"/>
  <c r="DN109" i="5"/>
  <c r="DM109" i="5"/>
  <c r="DL109" i="5"/>
  <c r="DK109" i="5"/>
  <c r="DJ109" i="5"/>
  <c r="DH109" i="5"/>
  <c r="DG109" i="5"/>
  <c r="DE109" i="5"/>
  <c r="DD109" i="5"/>
  <c r="DB109" i="5"/>
  <c r="CY109" i="5"/>
  <c r="CB109" i="5"/>
  <c r="CA109" i="5"/>
  <c r="CW109" i="5" s="1"/>
  <c r="BZ109" i="5"/>
  <c r="BW109" i="5"/>
  <c r="BV109" i="5"/>
  <c r="BU109" i="5"/>
  <c r="BT109" i="5"/>
  <c r="BS109" i="5"/>
  <c r="BR109" i="5"/>
  <c r="BQ109" i="5"/>
  <c r="BP109" i="5"/>
  <c r="BF109" i="5" s="1"/>
  <c r="BO109" i="5"/>
  <c r="BM109" i="5"/>
  <c r="BL109" i="5"/>
  <c r="BJ109" i="5"/>
  <c r="BH109" i="5"/>
  <c r="BG109" i="5"/>
  <c r="BE109" i="5"/>
  <c r="AJ109" i="5"/>
  <c r="AI109" i="5" s="1"/>
  <c r="M109" i="5"/>
  <c r="H109" i="5"/>
  <c r="I109" i="5" s="1"/>
  <c r="DP108" i="5"/>
  <c r="DO108" i="5"/>
  <c r="DN108" i="5"/>
  <c r="DM108" i="5"/>
  <c r="DL108" i="5"/>
  <c r="DK108" i="5"/>
  <c r="DJ108" i="5"/>
  <c r="DH108" i="5"/>
  <c r="DG108" i="5"/>
  <c r="DE108" i="5"/>
  <c r="DD108" i="5"/>
  <c r="DB108" i="5"/>
  <c r="CY108" i="5"/>
  <c r="CV108" i="5"/>
  <c r="CB108" i="5" s="1"/>
  <c r="H108" i="5" s="1"/>
  <c r="BW108" i="5"/>
  <c r="BV108" i="5"/>
  <c r="BU108" i="5"/>
  <c r="BT108" i="5"/>
  <c r="BS108" i="5"/>
  <c r="BR108" i="5"/>
  <c r="BQ108" i="5"/>
  <c r="BP108" i="5"/>
  <c r="BO108" i="5"/>
  <c r="BM108" i="5"/>
  <c r="BL108" i="5"/>
  <c r="BJ108" i="5"/>
  <c r="BH108" i="5"/>
  <c r="BG108" i="5"/>
  <c r="BD108" i="5"/>
  <c r="BZ108" i="5" s="1"/>
  <c r="BF108" i="5" s="1"/>
  <c r="AG108" i="5"/>
  <c r="DR107" i="5"/>
  <c r="DP107" i="5"/>
  <c r="DN107" i="5"/>
  <c r="DM107" i="5"/>
  <c r="DL107" i="5"/>
  <c r="DK107" i="5"/>
  <c r="DJ107" i="5"/>
  <c r="DH107" i="5"/>
  <c r="DG107" i="5"/>
  <c r="DE107" i="5"/>
  <c r="DD107" i="5"/>
  <c r="DB107" i="5"/>
  <c r="CY107" i="5"/>
  <c r="CS107" i="5"/>
  <c r="BZ107" i="5"/>
  <c r="BW107" i="5"/>
  <c r="BV107" i="5"/>
  <c r="BU107" i="5"/>
  <c r="BT107" i="5"/>
  <c r="BS107" i="5"/>
  <c r="BR107" i="5"/>
  <c r="BM107" i="5"/>
  <c r="BM121" i="5" s="1"/>
  <c r="BL107" i="5"/>
  <c r="BJ107" i="5"/>
  <c r="BH107" i="5"/>
  <c r="BG107" i="5"/>
  <c r="BA107" i="5"/>
  <c r="AJ107" i="5" s="1"/>
  <c r="M107" i="5"/>
  <c r="DR106" i="5"/>
  <c r="DP106" i="5"/>
  <c r="DN106" i="5"/>
  <c r="DM106" i="5"/>
  <c r="DL106" i="5"/>
  <c r="DK106" i="5"/>
  <c r="DJ106" i="5"/>
  <c r="DH106" i="5"/>
  <c r="DG106" i="5"/>
  <c r="DE106" i="5"/>
  <c r="DD106" i="5"/>
  <c r="DB106" i="5"/>
  <c r="CY106" i="5"/>
  <c r="CS106" i="5"/>
  <c r="DO106" i="5" s="1"/>
  <c r="CB106" i="5"/>
  <c r="H106" i="5" s="1"/>
  <c r="I106" i="5" s="1"/>
  <c r="BZ106" i="5"/>
  <c r="BV106" i="5"/>
  <c r="BU106" i="5"/>
  <c r="BT106" i="5"/>
  <c r="BS106" i="5"/>
  <c r="BR106" i="5"/>
  <c r="BM106" i="5"/>
  <c r="BL106" i="5"/>
  <c r="BL121" i="5" s="1"/>
  <c r="BJ106" i="5"/>
  <c r="BH106" i="5"/>
  <c r="BG106" i="5"/>
  <c r="BA106" i="5"/>
  <c r="M106" i="5"/>
  <c r="DR105" i="5"/>
  <c r="DP105" i="5"/>
  <c r="DN105" i="5"/>
  <c r="DM105" i="5"/>
  <c r="DL105" i="5"/>
  <c r="DK105" i="5"/>
  <c r="DJ105" i="5"/>
  <c r="DH105" i="5"/>
  <c r="DG105" i="5"/>
  <c r="DE105" i="5"/>
  <c r="DD105" i="5"/>
  <c r="DB105" i="5"/>
  <c r="DA105" i="5"/>
  <c r="DA198" i="5" s="1"/>
  <c r="CZ105" i="5"/>
  <c r="CZ198" i="5" s="1"/>
  <c r="CY105" i="5"/>
  <c r="CS105" i="5"/>
  <c r="BZ105" i="5"/>
  <c r="BV105" i="5"/>
  <c r="BU105" i="5"/>
  <c r="BT105" i="5"/>
  <c r="BS105" i="5"/>
  <c r="BR105" i="5"/>
  <c r="BM105" i="5"/>
  <c r="BL105" i="5"/>
  <c r="BJ105" i="5"/>
  <c r="BH105" i="5"/>
  <c r="BG105" i="5"/>
  <c r="BA105" i="5"/>
  <c r="BW105" i="5" s="1"/>
  <c r="BF105" i="5" s="1"/>
  <c r="O105" i="5"/>
  <c r="M105" i="5"/>
  <c r="DQ103" i="5"/>
  <c r="DI103" i="5"/>
  <c r="DF103" i="5"/>
  <c r="DC103" i="5"/>
  <c r="CY103" i="5"/>
  <c r="CU103" i="5"/>
  <c r="CT103" i="5"/>
  <c r="CS103" i="5"/>
  <c r="CR103" i="5"/>
  <c r="CP103" i="5"/>
  <c r="CN103" i="5"/>
  <c r="CM103" i="5"/>
  <c r="CL103" i="5"/>
  <c r="CK103" i="5"/>
  <c r="CD103" i="5"/>
  <c r="CC103" i="5"/>
  <c r="BY103" i="5"/>
  <c r="BN103" i="5"/>
  <c r="BK103" i="5"/>
  <c r="BI103" i="5"/>
  <c r="BC103" i="5"/>
  <c r="BB103" i="5"/>
  <c r="BA103" i="5"/>
  <c r="AZ103" i="5"/>
  <c r="AX103" i="5"/>
  <c r="AV103" i="5"/>
  <c r="AU103" i="5"/>
  <c r="AT103" i="5"/>
  <c r="AS103" i="5"/>
  <c r="AR103" i="5"/>
  <c r="AL103" i="5"/>
  <c r="AK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R103" i="5"/>
  <c r="P103" i="5"/>
  <c r="N103" i="5"/>
  <c r="G103" i="5"/>
  <c r="DP102" i="5"/>
  <c r="DO102" i="5"/>
  <c r="DN102" i="5"/>
  <c r="DM102" i="5"/>
  <c r="DL102" i="5"/>
  <c r="DK102" i="5"/>
  <c r="DJ102" i="5"/>
  <c r="DH102" i="5"/>
  <c r="DG102" i="5"/>
  <c r="DE102" i="5"/>
  <c r="DD102" i="5"/>
  <c r="DB102" i="5"/>
  <c r="CV102" i="5"/>
  <c r="CB102" i="5" s="1"/>
  <c r="BW102" i="5"/>
  <c r="BV102" i="5"/>
  <c r="BU102" i="5"/>
  <c r="BT102" i="5"/>
  <c r="BS102" i="5"/>
  <c r="BR102" i="5"/>
  <c r="BP102" i="5"/>
  <c r="BO102" i="5"/>
  <c r="BM102" i="5"/>
  <c r="BL102" i="5"/>
  <c r="BJ102" i="5"/>
  <c r="BH102" i="5"/>
  <c r="BG102" i="5"/>
  <c r="BD102" i="5"/>
  <c r="AJ102" i="5" s="1"/>
  <c r="AG102" i="5"/>
  <c r="DR101" i="5"/>
  <c r="DP101" i="5"/>
  <c r="DO101" i="5"/>
  <c r="DN101" i="5"/>
  <c r="DM101" i="5"/>
  <c r="DL101" i="5"/>
  <c r="DK101" i="5"/>
  <c r="DJ101" i="5"/>
  <c r="DH101" i="5"/>
  <c r="DG101" i="5"/>
  <c r="DE101" i="5"/>
  <c r="DB101" i="5"/>
  <c r="CH101" i="5"/>
  <c r="BZ101" i="5"/>
  <c r="BW101" i="5"/>
  <c r="BV101" i="5"/>
  <c r="BU101" i="5"/>
  <c r="BT101" i="5"/>
  <c r="BS101" i="5"/>
  <c r="BR101" i="5"/>
  <c r="BP101" i="5"/>
  <c r="BO101" i="5"/>
  <c r="BM101" i="5"/>
  <c r="BH101" i="5"/>
  <c r="BG101" i="5"/>
  <c r="AP101" i="5"/>
  <c r="AN101" i="5"/>
  <c r="BJ101" i="5" s="1"/>
  <c r="S101" i="5"/>
  <c r="M101" i="5" s="1"/>
  <c r="Q101" i="5"/>
  <c r="DR100" i="5"/>
  <c r="DP100" i="5"/>
  <c r="DO100" i="5"/>
  <c r="DN100" i="5"/>
  <c r="DL100" i="5"/>
  <c r="DK100" i="5"/>
  <c r="DJ100" i="5"/>
  <c r="DH100" i="5"/>
  <c r="DG100" i="5"/>
  <c r="DE100" i="5"/>
  <c r="DC100" i="5"/>
  <c r="DC196" i="5" s="1"/>
  <c r="CQ100" i="5"/>
  <c r="CH100" i="5"/>
  <c r="BZ100" i="5"/>
  <c r="BW100" i="5"/>
  <c r="BV100" i="5"/>
  <c r="BT100" i="5"/>
  <c r="BS100" i="5"/>
  <c r="BR100" i="5"/>
  <c r="BP100" i="5"/>
  <c r="BO100" i="5"/>
  <c r="BM100" i="5"/>
  <c r="BK100" i="5"/>
  <c r="BK196" i="5" s="1"/>
  <c r="BJ100" i="5"/>
  <c r="BH100" i="5"/>
  <c r="BG100" i="5"/>
  <c r="AY100" i="5"/>
  <c r="AP100" i="5"/>
  <c r="S100" i="5"/>
  <c r="Q100" i="5"/>
  <c r="DB100" i="5" s="1"/>
  <c r="M100" i="5"/>
  <c r="DR99" i="5"/>
  <c r="DP99" i="5"/>
  <c r="DO99" i="5"/>
  <c r="DN99" i="5"/>
  <c r="DL99" i="5"/>
  <c r="DK99" i="5"/>
  <c r="DJ99" i="5"/>
  <c r="DH99" i="5"/>
  <c r="DG99" i="5"/>
  <c r="DE99" i="5"/>
  <c r="DD99" i="5"/>
  <c r="DB99" i="5"/>
  <c r="CB99" i="5"/>
  <c r="BZ99" i="5"/>
  <c r="BW99" i="5"/>
  <c r="BV99" i="5"/>
  <c r="BT99" i="5"/>
  <c r="BS99" i="5"/>
  <c r="BR99" i="5"/>
  <c r="BP99" i="5"/>
  <c r="BO99" i="5"/>
  <c r="BM99" i="5"/>
  <c r="BL99" i="5"/>
  <c r="BJ99" i="5"/>
  <c r="BH99" i="5"/>
  <c r="BG99" i="5"/>
  <c r="AY99" i="5"/>
  <c r="AP99" i="5"/>
  <c r="AB99" i="5"/>
  <c r="S99" i="5"/>
  <c r="H99" i="5"/>
  <c r="DR98" i="5"/>
  <c r="DP98" i="5"/>
  <c r="DO98" i="5"/>
  <c r="DN98" i="5"/>
  <c r="DM98" i="5"/>
  <c r="DL98" i="5"/>
  <c r="DK98" i="5"/>
  <c r="DJ98" i="5"/>
  <c r="DH98" i="5"/>
  <c r="DG98" i="5"/>
  <c r="DE98" i="5"/>
  <c r="DB98" i="5"/>
  <c r="DA98" i="5"/>
  <c r="CH98" i="5"/>
  <c r="DD98" i="5" s="1"/>
  <c r="CB98" i="5"/>
  <c r="H98" i="5" s="1"/>
  <c r="BZ98" i="5"/>
  <c r="BW98" i="5"/>
  <c r="BV98" i="5"/>
  <c r="BU98" i="5"/>
  <c r="BT98" i="5"/>
  <c r="BS98" i="5"/>
  <c r="BR98" i="5"/>
  <c r="BP98" i="5"/>
  <c r="BO98" i="5"/>
  <c r="BM98" i="5"/>
  <c r="BL98" i="5"/>
  <c r="BJ98" i="5"/>
  <c r="BG98" i="5"/>
  <c r="AP98" i="5"/>
  <c r="AJ98" i="5"/>
  <c r="S98" i="5"/>
  <c r="O98" i="5"/>
  <c r="BH98" i="5" s="1"/>
  <c r="BF98" i="5" s="1"/>
  <c r="DR97" i="5"/>
  <c r="DP97" i="5"/>
  <c r="DO97" i="5"/>
  <c r="DN97" i="5"/>
  <c r="DM97" i="5"/>
  <c r="DL97" i="5"/>
  <c r="DK97" i="5"/>
  <c r="DJ97" i="5"/>
  <c r="DH97" i="5"/>
  <c r="DG97" i="5"/>
  <c r="DE97" i="5"/>
  <c r="DB97" i="5"/>
  <c r="CB97" i="5"/>
  <c r="BZ97" i="5"/>
  <c r="BW97" i="5"/>
  <c r="BV97" i="5"/>
  <c r="BU97" i="5"/>
  <c r="BT97" i="5"/>
  <c r="BS97" i="5"/>
  <c r="BR97" i="5"/>
  <c r="BP97" i="5"/>
  <c r="BO97" i="5"/>
  <c r="BM97" i="5"/>
  <c r="BL97" i="5"/>
  <c r="BF97" i="5" s="1"/>
  <c r="BJ97" i="5"/>
  <c r="BH97" i="5"/>
  <c r="BG97" i="5"/>
  <c r="AP97" i="5"/>
  <c r="AJ97" i="5"/>
  <c r="S97" i="5"/>
  <c r="DR96" i="5"/>
  <c r="DP96" i="5"/>
  <c r="DO96" i="5"/>
  <c r="DN96" i="5"/>
  <c r="DM96" i="5"/>
  <c r="DL96" i="5"/>
  <c r="DK96" i="5"/>
  <c r="DJ96" i="5"/>
  <c r="DH96" i="5"/>
  <c r="DG96" i="5"/>
  <c r="DE96" i="5"/>
  <c r="DB96" i="5"/>
  <c r="DA96" i="5"/>
  <c r="CZ96" i="5"/>
  <c r="CH96" i="5"/>
  <c r="CB96" i="5" s="1"/>
  <c r="BZ96" i="5"/>
  <c r="BW96" i="5"/>
  <c r="BV96" i="5"/>
  <c r="BU96" i="5"/>
  <c r="BT96" i="5"/>
  <c r="BS96" i="5"/>
  <c r="BR96" i="5"/>
  <c r="BP96" i="5"/>
  <c r="BO96" i="5"/>
  <c r="BM96" i="5"/>
  <c r="BJ96" i="5"/>
  <c r="BG96" i="5"/>
  <c r="AP96" i="5"/>
  <c r="O96" i="5"/>
  <c r="DR95" i="5"/>
  <c r="DP95" i="5"/>
  <c r="DO95" i="5"/>
  <c r="DN95" i="5"/>
  <c r="DM95" i="5"/>
  <c r="DL95" i="5"/>
  <c r="DK95" i="5"/>
  <c r="DJ95" i="5"/>
  <c r="DH95" i="5"/>
  <c r="DG95" i="5"/>
  <c r="DE95" i="5"/>
  <c r="DD95" i="5"/>
  <c r="DB95" i="5"/>
  <c r="DA95" i="5"/>
  <c r="CB95" i="5"/>
  <c r="CA95" i="5"/>
  <c r="CW95" i="5" s="1"/>
  <c r="BZ95" i="5"/>
  <c r="BW95" i="5"/>
  <c r="BV95" i="5"/>
  <c r="BU95" i="5"/>
  <c r="BT95" i="5"/>
  <c r="BS95" i="5"/>
  <c r="BR95" i="5"/>
  <c r="BP95" i="5"/>
  <c r="BO95" i="5"/>
  <c r="BM95" i="5"/>
  <c r="BJ95" i="5"/>
  <c r="BH95" i="5"/>
  <c r="BG95" i="5"/>
  <c r="AP95" i="5"/>
  <c r="AJ95" i="5" s="1"/>
  <c r="AI95" i="5" s="1"/>
  <c r="BE95" i="5" s="1"/>
  <c r="S95" i="5"/>
  <c r="O95" i="5"/>
  <c r="CZ95" i="5" s="1"/>
  <c r="M95" i="5"/>
  <c r="H95" i="5"/>
  <c r="DR94" i="5"/>
  <c r="DP94" i="5"/>
  <c r="DO94" i="5"/>
  <c r="DN94" i="5"/>
  <c r="DM94" i="5"/>
  <c r="DL94" i="5"/>
  <c r="DK94" i="5"/>
  <c r="DJ94" i="5"/>
  <c r="CX94" i="5" s="1"/>
  <c r="DH94" i="5"/>
  <c r="DG94" i="5"/>
  <c r="DE94" i="5"/>
  <c r="DD94" i="5"/>
  <c r="DB94" i="5"/>
  <c r="CB94" i="5"/>
  <c r="BZ94" i="5"/>
  <c r="BW94" i="5"/>
  <c r="BV94" i="5"/>
  <c r="BU94" i="5"/>
  <c r="BT94" i="5"/>
  <c r="BS94" i="5"/>
  <c r="BR94" i="5"/>
  <c r="BP94" i="5"/>
  <c r="BO94" i="5"/>
  <c r="BM94" i="5"/>
  <c r="BJ94" i="5"/>
  <c r="BH94" i="5"/>
  <c r="BG94" i="5"/>
  <c r="AP94" i="5"/>
  <c r="M94" i="5"/>
  <c r="DR93" i="5"/>
  <c r="DP93" i="5"/>
  <c r="DO93" i="5"/>
  <c r="DN93" i="5"/>
  <c r="DM93" i="5"/>
  <c r="DL93" i="5"/>
  <c r="DK93" i="5"/>
  <c r="DJ93" i="5"/>
  <c r="DH93" i="5"/>
  <c r="DG93" i="5"/>
  <c r="DE93" i="5"/>
  <c r="DB93" i="5"/>
  <c r="CH93" i="5"/>
  <c r="DD93" i="5" s="1"/>
  <c r="CB93" i="5"/>
  <c r="BZ93" i="5"/>
  <c r="BW93" i="5"/>
  <c r="BV93" i="5"/>
  <c r="BU93" i="5"/>
  <c r="BT93" i="5"/>
  <c r="BS93" i="5"/>
  <c r="BR93" i="5"/>
  <c r="BP93" i="5"/>
  <c r="BO93" i="5"/>
  <c r="BM93" i="5"/>
  <c r="BJ93" i="5"/>
  <c r="BH93" i="5"/>
  <c r="BG93" i="5"/>
  <c r="AP93" i="5"/>
  <c r="M93" i="5"/>
  <c r="DR92" i="5"/>
  <c r="DP92" i="5"/>
  <c r="DO92" i="5"/>
  <c r="DN92" i="5"/>
  <c r="DM92" i="5"/>
  <c r="DL92" i="5"/>
  <c r="DK92" i="5"/>
  <c r="DJ92" i="5"/>
  <c r="DH92" i="5"/>
  <c r="DG92" i="5"/>
  <c r="DE92" i="5"/>
  <c r="DB92" i="5"/>
  <c r="CH92" i="5"/>
  <c r="DD92" i="5" s="1"/>
  <c r="BZ92" i="5"/>
  <c r="BW92" i="5"/>
  <c r="BV92" i="5"/>
  <c r="BU92" i="5"/>
  <c r="BT92" i="5"/>
  <c r="BS92" i="5"/>
  <c r="BR92" i="5"/>
  <c r="BP92" i="5"/>
  <c r="BO92" i="5"/>
  <c r="BH92" i="5"/>
  <c r="BG92" i="5"/>
  <c r="AP92" i="5"/>
  <c r="AN92" i="5"/>
  <c r="BJ92" i="5" s="1"/>
  <c r="T92" i="5"/>
  <c r="BM92" i="5" s="1"/>
  <c r="DR91" i="5"/>
  <c r="DP91" i="5"/>
  <c r="DO91" i="5"/>
  <c r="DN91" i="5"/>
  <c r="DM91" i="5"/>
  <c r="DL91" i="5"/>
  <c r="DK91" i="5"/>
  <c r="DJ91" i="5"/>
  <c r="DH91" i="5"/>
  <c r="DG91" i="5"/>
  <c r="DD91" i="5"/>
  <c r="DB91" i="5"/>
  <c r="CI91" i="5"/>
  <c r="CB91" i="5"/>
  <c r="BZ91" i="5"/>
  <c r="BW91" i="5"/>
  <c r="BV91" i="5"/>
  <c r="BU91" i="5"/>
  <c r="BT91" i="5"/>
  <c r="BS91" i="5"/>
  <c r="BR91" i="5"/>
  <c r="BP91" i="5"/>
  <c r="BO91" i="5"/>
  <c r="BM91" i="5"/>
  <c r="BL91" i="5"/>
  <c r="BJ91" i="5"/>
  <c r="BH91" i="5"/>
  <c r="BG91" i="5"/>
  <c r="AQ91" i="5"/>
  <c r="AJ91" i="5"/>
  <c r="T91" i="5"/>
  <c r="DE91" i="5" s="1"/>
  <c r="M91" i="5"/>
  <c r="DR90" i="5"/>
  <c r="DP90" i="5"/>
  <c r="DO90" i="5"/>
  <c r="DN90" i="5"/>
  <c r="DL90" i="5"/>
  <c r="DK90" i="5"/>
  <c r="DJ90" i="5"/>
  <c r="DH90" i="5"/>
  <c r="DG90" i="5"/>
  <c r="DE90" i="5"/>
  <c r="DD90" i="5"/>
  <c r="CQ90" i="5"/>
  <c r="CF90" i="5"/>
  <c r="BZ90" i="5"/>
  <c r="BW90" i="5"/>
  <c r="BV90" i="5"/>
  <c r="BT90" i="5"/>
  <c r="BS90" i="5"/>
  <c r="BR90" i="5"/>
  <c r="BP90" i="5"/>
  <c r="BO90" i="5"/>
  <c r="BM90" i="5"/>
  <c r="BL90" i="5"/>
  <c r="BH90" i="5"/>
  <c r="BG90" i="5"/>
  <c r="AY90" i="5"/>
  <c r="BU90" i="5" s="1"/>
  <c r="AN90" i="5"/>
  <c r="BJ90" i="5" s="1"/>
  <c r="M90" i="5"/>
  <c r="DR89" i="5"/>
  <c r="DP89" i="5"/>
  <c r="DO89" i="5"/>
  <c r="DN89" i="5"/>
  <c r="DM89" i="5"/>
  <c r="DL89" i="5"/>
  <c r="DK89" i="5"/>
  <c r="DJ89" i="5"/>
  <c r="DH89" i="5"/>
  <c r="DG89" i="5"/>
  <c r="DE89" i="5"/>
  <c r="DD89" i="5"/>
  <c r="CB89" i="5"/>
  <c r="H89" i="5" s="1"/>
  <c r="BZ89" i="5"/>
  <c r="BW89" i="5"/>
  <c r="BV89" i="5"/>
  <c r="BU89" i="5"/>
  <c r="BT89" i="5"/>
  <c r="BS89" i="5"/>
  <c r="BR89" i="5"/>
  <c r="BP89" i="5"/>
  <c r="BO89" i="5"/>
  <c r="BM89" i="5"/>
  <c r="BJ89" i="5"/>
  <c r="BH89" i="5"/>
  <c r="BG89" i="5"/>
  <c r="AY89" i="5"/>
  <c r="AP89" i="5"/>
  <c r="Q89" i="5"/>
  <c r="DR88" i="5"/>
  <c r="DP88" i="5"/>
  <c r="DO88" i="5"/>
  <c r="DN88" i="5"/>
  <c r="DM88" i="5"/>
  <c r="DL88" i="5"/>
  <c r="DK88" i="5"/>
  <c r="DJ88" i="5"/>
  <c r="DH88" i="5"/>
  <c r="DG88" i="5"/>
  <c r="DE88" i="5"/>
  <c r="DD88" i="5"/>
  <c r="DB88" i="5"/>
  <c r="CX88" i="5" s="1"/>
  <c r="DA88" i="5"/>
  <c r="CZ88" i="5"/>
  <c r="CB88" i="5"/>
  <c r="CA88" i="5"/>
  <c r="CW88" i="5" s="1"/>
  <c r="BZ88" i="5"/>
  <c r="BW88" i="5"/>
  <c r="BV88" i="5"/>
  <c r="BU88" i="5"/>
  <c r="BT88" i="5"/>
  <c r="BS88" i="5"/>
  <c r="BR88" i="5"/>
  <c r="BP88" i="5"/>
  <c r="BO88" i="5"/>
  <c r="BM88" i="5"/>
  <c r="BL88" i="5"/>
  <c r="BJ88" i="5"/>
  <c r="BH88" i="5"/>
  <c r="BG88" i="5"/>
  <c r="AQ88" i="5"/>
  <c r="AJ88" i="5"/>
  <c r="O88" i="5"/>
  <c r="M88" i="5"/>
  <c r="I88" i="5" s="1"/>
  <c r="H88" i="5"/>
  <c r="DR87" i="5"/>
  <c r="DP87" i="5"/>
  <c r="DO87" i="5"/>
  <c r="DN87" i="5"/>
  <c r="DM87" i="5"/>
  <c r="DL87" i="5"/>
  <c r="DJ87" i="5"/>
  <c r="DH87" i="5"/>
  <c r="DG87" i="5"/>
  <c r="DE87" i="5"/>
  <c r="DD87" i="5"/>
  <c r="DB87" i="5"/>
  <c r="CO87" i="5"/>
  <c r="BZ87" i="5"/>
  <c r="BW87" i="5"/>
  <c r="BV87" i="5"/>
  <c r="BU87" i="5"/>
  <c r="BT87" i="5"/>
  <c r="BR87" i="5"/>
  <c r="BP87" i="5"/>
  <c r="BO87" i="5"/>
  <c r="BM87" i="5"/>
  <c r="BL87" i="5"/>
  <c r="BJ87" i="5"/>
  <c r="BH87" i="5"/>
  <c r="BG87" i="5"/>
  <c r="AW87" i="5"/>
  <c r="AW103" i="5" s="1"/>
  <c r="Z87" i="5"/>
  <c r="Z196" i="5" s="1"/>
  <c r="M87" i="5"/>
  <c r="DP86" i="5"/>
  <c r="DO86" i="5"/>
  <c r="DN86" i="5"/>
  <c r="DM86" i="5"/>
  <c r="DL86" i="5"/>
  <c r="DK86" i="5"/>
  <c r="DJ86" i="5"/>
  <c r="DH86" i="5"/>
  <c r="DG86" i="5"/>
  <c r="DE86" i="5"/>
  <c r="DD86" i="5"/>
  <c r="DB86" i="5"/>
  <c r="CV86" i="5"/>
  <c r="CB86" i="5" s="1"/>
  <c r="CA86" i="5" s="1"/>
  <c r="CW86" i="5" s="1"/>
  <c r="BW86" i="5"/>
  <c r="BV86" i="5"/>
  <c r="BU86" i="5"/>
  <c r="BT86" i="5"/>
  <c r="BS86" i="5"/>
  <c r="BR86" i="5"/>
  <c r="BP86" i="5"/>
  <c r="BO86" i="5"/>
  <c r="BM86" i="5"/>
  <c r="BL86" i="5"/>
  <c r="BJ86" i="5"/>
  <c r="BH86" i="5"/>
  <c r="BG86" i="5"/>
  <c r="BD86" i="5"/>
  <c r="AJ86" i="5"/>
  <c r="AG86" i="5"/>
  <c r="M86" i="5"/>
  <c r="DP85" i="5"/>
  <c r="DO85" i="5"/>
  <c r="DN85" i="5"/>
  <c r="DM85" i="5"/>
  <c r="DL85" i="5"/>
  <c r="DK85" i="5"/>
  <c r="DJ85" i="5"/>
  <c r="DH85" i="5"/>
  <c r="DG85" i="5"/>
  <c r="DE85" i="5"/>
  <c r="DD85" i="5"/>
  <c r="DB85" i="5"/>
  <c r="CV85" i="5"/>
  <c r="CB85" i="5" s="1"/>
  <c r="H85" i="5" s="1"/>
  <c r="BW85" i="5"/>
  <c r="BV85" i="5"/>
  <c r="BU85" i="5"/>
  <c r="BT85" i="5"/>
  <c r="BS85" i="5"/>
  <c r="BR85" i="5"/>
  <c r="BP85" i="5"/>
  <c r="BO85" i="5"/>
  <c r="BM85" i="5"/>
  <c r="BL85" i="5"/>
  <c r="BJ85" i="5"/>
  <c r="BH85" i="5"/>
  <c r="BG85" i="5"/>
  <c r="BD85" i="5"/>
  <c r="BZ85" i="5" s="1"/>
  <c r="AJ85" i="5"/>
  <c r="AG85" i="5"/>
  <c r="DR84" i="5"/>
  <c r="DP84" i="5"/>
  <c r="DO84" i="5"/>
  <c r="DN84" i="5"/>
  <c r="DM84" i="5"/>
  <c r="DL84" i="5"/>
  <c r="DK84" i="5"/>
  <c r="DJ84" i="5"/>
  <c r="DH84" i="5"/>
  <c r="DG84" i="5"/>
  <c r="DD84" i="5"/>
  <c r="DB84" i="5"/>
  <c r="DA84" i="5"/>
  <c r="CZ84" i="5"/>
  <c r="CI84" i="5"/>
  <c r="CB84" i="5" s="1"/>
  <c r="H84" i="5" s="1"/>
  <c r="BZ84" i="5"/>
  <c r="BW84" i="5"/>
  <c r="BV84" i="5"/>
  <c r="BU84" i="5"/>
  <c r="BT84" i="5"/>
  <c r="BS84" i="5"/>
  <c r="BR84" i="5"/>
  <c r="BQ84" i="5"/>
  <c r="BP84" i="5"/>
  <c r="BO84" i="5"/>
  <c r="BL84" i="5"/>
  <c r="BJ84" i="5"/>
  <c r="BG84" i="5"/>
  <c r="AQ84" i="5"/>
  <c r="T84" i="5"/>
  <c r="O84" i="5"/>
  <c r="M84" i="5" s="1"/>
  <c r="DR83" i="5"/>
  <c r="DP83" i="5"/>
  <c r="DO83" i="5"/>
  <c r="DN83" i="5"/>
  <c r="DM83" i="5"/>
  <c r="DL83" i="5"/>
  <c r="DK83" i="5"/>
  <c r="DJ83" i="5"/>
  <c r="DH83" i="5"/>
  <c r="DG83" i="5"/>
  <c r="DD83" i="5"/>
  <c r="DB83" i="5"/>
  <c r="DA83" i="5"/>
  <c r="CZ83" i="5"/>
  <c r="CI83" i="5"/>
  <c r="DE83" i="5" s="1"/>
  <c r="CB83" i="5"/>
  <c r="BZ83" i="5"/>
  <c r="BW83" i="5"/>
  <c r="BV83" i="5"/>
  <c r="BU83" i="5"/>
  <c r="BT83" i="5"/>
  <c r="BS83" i="5"/>
  <c r="BR83" i="5"/>
  <c r="BQ83" i="5"/>
  <c r="BP83" i="5"/>
  <c r="BO83" i="5"/>
  <c r="BL83" i="5"/>
  <c r="BJ83" i="5"/>
  <c r="BH83" i="5"/>
  <c r="BG83" i="5"/>
  <c r="AQ83" i="5"/>
  <c r="O83" i="5"/>
  <c r="M83" i="5" s="1"/>
  <c r="DP82" i="5"/>
  <c r="DO82" i="5"/>
  <c r="DN82" i="5"/>
  <c r="DM82" i="5"/>
  <c r="DL82" i="5"/>
  <c r="DK82" i="5"/>
  <c r="DJ82" i="5"/>
  <c r="DH82" i="5"/>
  <c r="DG82" i="5"/>
  <c r="DE82" i="5"/>
  <c r="DD82" i="5"/>
  <c r="DB82" i="5"/>
  <c r="CV82" i="5"/>
  <c r="CB82" i="5" s="1"/>
  <c r="BW82" i="5"/>
  <c r="BV82" i="5"/>
  <c r="BU82" i="5"/>
  <c r="BT82" i="5"/>
  <c r="BS82" i="5"/>
  <c r="BR82" i="5"/>
  <c r="BQ82" i="5"/>
  <c r="BP82" i="5"/>
  <c r="BO82" i="5"/>
  <c r="BM82" i="5"/>
  <c r="BL82" i="5"/>
  <c r="BJ82" i="5"/>
  <c r="BH82" i="5"/>
  <c r="BG82" i="5"/>
  <c r="BD82" i="5"/>
  <c r="AJ82" i="5" s="1"/>
  <c r="AI82" i="5" s="1"/>
  <c r="BE82" i="5" s="1"/>
  <c r="AG82" i="5"/>
  <c r="M82" i="5" s="1"/>
  <c r="DR81" i="5"/>
  <c r="DP81" i="5"/>
  <c r="DO81" i="5"/>
  <c r="DN81" i="5"/>
  <c r="DM81" i="5"/>
  <c r="DL81" i="5"/>
  <c r="DK81" i="5"/>
  <c r="DJ81" i="5"/>
  <c r="DH81" i="5"/>
  <c r="DG81" i="5"/>
  <c r="DE81" i="5"/>
  <c r="DD81" i="5"/>
  <c r="DB81" i="5"/>
  <c r="CI81" i="5"/>
  <c r="BZ81" i="5"/>
  <c r="BX81" i="5"/>
  <c r="BW81" i="5"/>
  <c r="BV81" i="5"/>
  <c r="BU81" i="5"/>
  <c r="BT81" i="5"/>
  <c r="BS81" i="5"/>
  <c r="BR81" i="5"/>
  <c r="BQ81" i="5"/>
  <c r="BP81" i="5"/>
  <c r="BO81" i="5"/>
  <c r="BL81" i="5"/>
  <c r="BJ81" i="5"/>
  <c r="BH81" i="5"/>
  <c r="BG81" i="5"/>
  <c r="AQ81" i="5"/>
  <c r="AJ81" i="5" s="1"/>
  <c r="T81" i="5"/>
  <c r="DP80" i="5"/>
  <c r="DO80" i="5"/>
  <c r="DN80" i="5"/>
  <c r="DM80" i="5"/>
  <c r="DL80" i="5"/>
  <c r="DK80" i="5"/>
  <c r="DJ80" i="5"/>
  <c r="DH80" i="5"/>
  <c r="DG80" i="5"/>
  <c r="DE80" i="5"/>
  <c r="DD80" i="5"/>
  <c r="DB80" i="5"/>
  <c r="CV80" i="5"/>
  <c r="CB80" i="5" s="1"/>
  <c r="H80" i="5" s="1"/>
  <c r="BW80" i="5"/>
  <c r="BV80" i="5"/>
  <c r="BU80" i="5"/>
  <c r="BT80" i="5"/>
  <c r="BS80" i="5"/>
  <c r="BR80" i="5"/>
  <c r="BP80" i="5"/>
  <c r="BO80" i="5"/>
  <c r="BM80" i="5"/>
  <c r="BL80" i="5"/>
  <c r="BJ80" i="5"/>
  <c r="BH80" i="5"/>
  <c r="BG80" i="5"/>
  <c r="BD80" i="5"/>
  <c r="AJ80" i="5" s="1"/>
  <c r="AG80" i="5"/>
  <c r="DR79" i="5"/>
  <c r="DP79" i="5"/>
  <c r="DO79" i="5"/>
  <c r="DN79" i="5"/>
  <c r="DM79" i="5"/>
  <c r="DL79" i="5"/>
  <c r="DK79" i="5"/>
  <c r="DJ79" i="5"/>
  <c r="DH79" i="5"/>
  <c r="DG79" i="5"/>
  <c r="DE79" i="5"/>
  <c r="DD79" i="5"/>
  <c r="DB79" i="5"/>
  <c r="CV79" i="5"/>
  <c r="CB79" i="5"/>
  <c r="BW79" i="5"/>
  <c r="BV79" i="5"/>
  <c r="BU79" i="5"/>
  <c r="BT79" i="5"/>
  <c r="BS79" i="5"/>
  <c r="BR79" i="5"/>
  <c r="BQ79" i="5"/>
  <c r="BP79" i="5"/>
  <c r="BO79" i="5"/>
  <c r="BM79" i="5"/>
  <c r="BL79" i="5"/>
  <c r="BJ79" i="5"/>
  <c r="BH79" i="5"/>
  <c r="BG79" i="5"/>
  <c r="BD79" i="5"/>
  <c r="AJ79" i="5"/>
  <c r="AG79" i="5"/>
  <c r="BZ79" i="5" s="1"/>
  <c r="M79" i="5"/>
  <c r="DR78" i="5"/>
  <c r="DP78" i="5"/>
  <c r="DO78" i="5"/>
  <c r="DN78" i="5"/>
  <c r="DM78" i="5"/>
  <c r="DL78" i="5"/>
  <c r="DK78" i="5"/>
  <c r="DJ78" i="5"/>
  <c r="DH78" i="5"/>
  <c r="DG78" i="5"/>
  <c r="DD78" i="5"/>
  <c r="DB78" i="5"/>
  <c r="DA78" i="5"/>
  <c r="DA196" i="5" s="1"/>
  <c r="CI78" i="5"/>
  <c r="DE78" i="5" s="1"/>
  <c r="BZ78" i="5"/>
  <c r="BW78" i="5"/>
  <c r="BV78" i="5"/>
  <c r="BU78" i="5"/>
  <c r="BT78" i="5"/>
  <c r="BS78" i="5"/>
  <c r="BR78" i="5"/>
  <c r="BQ78" i="5"/>
  <c r="BP78" i="5"/>
  <c r="BO78" i="5"/>
  <c r="BL78" i="5"/>
  <c r="BJ78" i="5"/>
  <c r="BG78" i="5"/>
  <c r="AQ78" i="5"/>
  <c r="AJ78" i="5"/>
  <c r="T78" i="5"/>
  <c r="BM78" i="5" s="1"/>
  <c r="O78" i="5"/>
  <c r="DR77" i="5"/>
  <c r="DP77" i="5"/>
  <c r="DO77" i="5"/>
  <c r="DN77" i="5"/>
  <c r="DM77" i="5"/>
  <c r="DL77" i="5"/>
  <c r="DK77" i="5"/>
  <c r="DJ77" i="5"/>
  <c r="DH77" i="5"/>
  <c r="DG77" i="5"/>
  <c r="DE77" i="5"/>
  <c r="DD77" i="5"/>
  <c r="DB77" i="5"/>
  <c r="CB77" i="5"/>
  <c r="BW77" i="5"/>
  <c r="BV77" i="5"/>
  <c r="BU77" i="5"/>
  <c r="BT77" i="5"/>
  <c r="BS77" i="5"/>
  <c r="BR77" i="5"/>
  <c r="BQ77" i="5"/>
  <c r="BP77" i="5"/>
  <c r="BO77" i="5"/>
  <c r="BM77" i="5"/>
  <c r="BL77" i="5"/>
  <c r="BJ77" i="5"/>
  <c r="BH77" i="5"/>
  <c r="BG77" i="5"/>
  <c r="BD77" i="5"/>
  <c r="AJ77" i="5" s="1"/>
  <c r="AI77" i="5" s="1"/>
  <c r="BE77" i="5" s="1"/>
  <c r="AG77" i="5"/>
  <c r="M77" i="5"/>
  <c r="DR76" i="5"/>
  <c r="DP76" i="5"/>
  <c r="DO76" i="5"/>
  <c r="DN76" i="5"/>
  <c r="DM76" i="5"/>
  <c r="DL76" i="5"/>
  <c r="DK76" i="5"/>
  <c r="DJ76" i="5"/>
  <c r="DH76" i="5"/>
  <c r="DG76" i="5"/>
  <c r="DE76" i="5"/>
  <c r="DB76" i="5"/>
  <c r="CH76" i="5"/>
  <c r="BZ76" i="5"/>
  <c r="BX76" i="5"/>
  <c r="BW76" i="5"/>
  <c r="BV76" i="5"/>
  <c r="BU76" i="5"/>
  <c r="BT76" i="5"/>
  <c r="BS76" i="5"/>
  <c r="BR76" i="5"/>
  <c r="BQ76" i="5"/>
  <c r="BP76" i="5"/>
  <c r="BO76" i="5"/>
  <c r="BM76" i="5"/>
  <c r="BJ76" i="5"/>
  <c r="BH76" i="5"/>
  <c r="BG76" i="5"/>
  <c r="AP76" i="5"/>
  <c r="M76" i="5"/>
  <c r="DR75" i="5"/>
  <c r="DP75" i="5"/>
  <c r="DO75" i="5"/>
  <c r="DN75" i="5"/>
  <c r="DL75" i="5"/>
  <c r="DK75" i="5"/>
  <c r="DJ75" i="5"/>
  <c r="DH75" i="5"/>
  <c r="DG75" i="5"/>
  <c r="DE75" i="5"/>
  <c r="DB75" i="5"/>
  <c r="CQ75" i="5"/>
  <c r="DM75" i="5" s="1"/>
  <c r="CH75" i="5"/>
  <c r="BZ75" i="5"/>
  <c r="BX75" i="5"/>
  <c r="BW75" i="5"/>
  <c r="BV75" i="5"/>
  <c r="BT75" i="5"/>
  <c r="BS75" i="5"/>
  <c r="BR75" i="5"/>
  <c r="BQ75" i="5"/>
  <c r="BP75" i="5"/>
  <c r="BO75" i="5"/>
  <c r="BM75" i="5"/>
  <c r="BJ75" i="5"/>
  <c r="BH75" i="5"/>
  <c r="BG75" i="5"/>
  <c r="AY75" i="5"/>
  <c r="BU75" i="5" s="1"/>
  <c r="AP75" i="5"/>
  <c r="M75" i="5"/>
  <c r="DR74" i="5"/>
  <c r="DP74" i="5"/>
  <c r="DO74" i="5"/>
  <c r="DN74" i="5"/>
  <c r="DM74" i="5"/>
  <c r="DL74" i="5"/>
  <c r="DK74" i="5"/>
  <c r="DJ74" i="5"/>
  <c r="DH74" i="5"/>
  <c r="DG74" i="5"/>
  <c r="DD74" i="5"/>
  <c r="DB74" i="5"/>
  <c r="CB74" i="5"/>
  <c r="BZ74" i="5"/>
  <c r="BX74" i="5"/>
  <c r="BW74" i="5"/>
  <c r="BV74" i="5"/>
  <c r="BU74" i="5"/>
  <c r="BT74" i="5"/>
  <c r="BS74" i="5"/>
  <c r="BR74" i="5"/>
  <c r="BQ74" i="5"/>
  <c r="BP74" i="5"/>
  <c r="BO74" i="5"/>
  <c r="BL74" i="5"/>
  <c r="BJ74" i="5"/>
  <c r="BH74" i="5"/>
  <c r="BG74" i="5"/>
  <c r="AJ74" i="5"/>
  <c r="T74" i="5"/>
  <c r="H74" i="5"/>
  <c r="DP73" i="5"/>
  <c r="DO73" i="5"/>
  <c r="DN73" i="5"/>
  <c r="DM73" i="5"/>
  <c r="DL73" i="5"/>
  <c r="DK73" i="5"/>
  <c r="DJ73" i="5"/>
  <c r="DH73" i="5"/>
  <c r="DG73" i="5"/>
  <c r="DE73" i="5"/>
  <c r="DD73" i="5"/>
  <c r="DB73" i="5"/>
  <c r="CV73" i="5"/>
  <c r="CB73" i="5"/>
  <c r="H73" i="5" s="1"/>
  <c r="BW73" i="5"/>
  <c r="BV73" i="5"/>
  <c r="BU73" i="5"/>
  <c r="BT73" i="5"/>
  <c r="BS73" i="5"/>
  <c r="BR73" i="5"/>
  <c r="BQ73" i="5"/>
  <c r="BP73" i="5"/>
  <c r="BM73" i="5"/>
  <c r="BL73" i="5"/>
  <c r="BJ73" i="5"/>
  <c r="BH73" i="5"/>
  <c r="BG73" i="5"/>
  <c r="BD73" i="5"/>
  <c r="AJ73" i="5" s="1"/>
  <c r="AI73" i="5" s="1"/>
  <c r="BE73" i="5" s="1"/>
  <c r="AG73" i="5"/>
  <c r="M73" i="5"/>
  <c r="DP72" i="5"/>
  <c r="DO72" i="5"/>
  <c r="DN72" i="5"/>
  <c r="DM72" i="5"/>
  <c r="DL72" i="5"/>
  <c r="DK72" i="5"/>
  <c r="DJ72" i="5"/>
  <c r="DH72" i="5"/>
  <c r="DG72" i="5"/>
  <c r="DE72" i="5"/>
  <c r="DD72" i="5"/>
  <c r="DB72" i="5"/>
  <c r="CV72" i="5"/>
  <c r="BX72" i="5"/>
  <c r="BW72" i="5"/>
  <c r="BV72" i="5"/>
  <c r="BU72" i="5"/>
  <c r="BT72" i="5"/>
  <c r="BS72" i="5"/>
  <c r="BR72" i="5"/>
  <c r="BQ72" i="5"/>
  <c r="BP72" i="5"/>
  <c r="BO72" i="5"/>
  <c r="BM72" i="5"/>
  <c r="BL72" i="5"/>
  <c r="BJ72" i="5"/>
  <c r="BH72" i="5"/>
  <c r="BG72" i="5"/>
  <c r="BD72" i="5"/>
  <c r="BZ72" i="5" s="1"/>
  <c r="AG72" i="5"/>
  <c r="M72" i="5"/>
  <c r="DP71" i="5"/>
  <c r="DO71" i="5"/>
  <c r="DN71" i="5"/>
  <c r="DM71" i="5"/>
  <c r="DL71" i="5"/>
  <c r="DK71" i="5"/>
  <c r="DJ71" i="5"/>
  <c r="DH71" i="5"/>
  <c r="DG71" i="5"/>
  <c r="DE71" i="5"/>
  <c r="DB71" i="5"/>
  <c r="CV71" i="5"/>
  <c r="CH71" i="5"/>
  <c r="DD71" i="5" s="1"/>
  <c r="BW71" i="5"/>
  <c r="BV71" i="5"/>
  <c r="BU71" i="5"/>
  <c r="BT71" i="5"/>
  <c r="BS71" i="5"/>
  <c r="BR71" i="5"/>
  <c r="BQ71" i="5"/>
  <c r="BP71" i="5"/>
  <c r="BO71" i="5"/>
  <c r="BM71" i="5"/>
  <c r="BJ71" i="5"/>
  <c r="BH71" i="5"/>
  <c r="BG71" i="5"/>
  <c r="BD71" i="5"/>
  <c r="BZ71" i="5" s="1"/>
  <c r="AP71" i="5"/>
  <c r="AG71" i="5"/>
  <c r="M71" i="5"/>
  <c r="DR70" i="5"/>
  <c r="DP70" i="5"/>
  <c r="DO70" i="5"/>
  <c r="DN70" i="5"/>
  <c r="DM70" i="5"/>
  <c r="DL70" i="5"/>
  <c r="DK70" i="5"/>
  <c r="DJ70" i="5"/>
  <c r="DH70" i="5"/>
  <c r="DG70" i="5"/>
  <c r="DE70" i="5"/>
  <c r="DB70" i="5"/>
  <c r="CH70" i="5"/>
  <c r="CB70" i="5" s="1"/>
  <c r="BZ70" i="5"/>
  <c r="BW70" i="5"/>
  <c r="BV70" i="5"/>
  <c r="BT70" i="5"/>
  <c r="BS70" i="5"/>
  <c r="BR70" i="5"/>
  <c r="BP70" i="5"/>
  <c r="BM70" i="5"/>
  <c r="BL70" i="5"/>
  <c r="BJ70" i="5"/>
  <c r="BH70" i="5"/>
  <c r="BG70" i="5"/>
  <c r="AY70" i="5"/>
  <c r="AP70" i="5"/>
  <c r="AJ70" i="5"/>
  <c r="S70" i="5"/>
  <c r="DR69" i="5"/>
  <c r="DP69" i="5"/>
  <c r="DO69" i="5"/>
  <c r="DN69" i="5"/>
  <c r="DM69" i="5"/>
  <c r="DL69" i="5"/>
  <c r="DK69" i="5"/>
  <c r="DJ69" i="5"/>
  <c r="DH69" i="5"/>
  <c r="DG69" i="5"/>
  <c r="DE69" i="5"/>
  <c r="DB69" i="5"/>
  <c r="CH69" i="5"/>
  <c r="CB69" i="5"/>
  <c r="H69" i="5" s="1"/>
  <c r="BZ69" i="5"/>
  <c r="BW69" i="5"/>
  <c r="BV69" i="5"/>
  <c r="BU69" i="5"/>
  <c r="BT69" i="5"/>
  <c r="BS69" i="5"/>
  <c r="BR69" i="5"/>
  <c r="BP69" i="5"/>
  <c r="BM69" i="5"/>
  <c r="BL69" i="5"/>
  <c r="BJ69" i="5"/>
  <c r="BH69" i="5"/>
  <c r="BG69" i="5"/>
  <c r="AP69" i="5"/>
  <c r="AJ69" i="5" s="1"/>
  <c r="S69" i="5"/>
  <c r="M69" i="5"/>
  <c r="DP68" i="5"/>
  <c r="DO68" i="5"/>
  <c r="DN68" i="5"/>
  <c r="DM68" i="5"/>
  <c r="DL68" i="5"/>
  <c r="DK68" i="5"/>
  <c r="DJ68" i="5"/>
  <c r="DH68" i="5"/>
  <c r="DG68" i="5"/>
  <c r="DE68" i="5"/>
  <c r="DD68" i="5"/>
  <c r="DB68" i="5"/>
  <c r="CV68" i="5"/>
  <c r="CB68" i="5"/>
  <c r="BW68" i="5"/>
  <c r="BV68" i="5"/>
  <c r="BU68" i="5"/>
  <c r="BT68" i="5"/>
  <c r="BT196" i="5" s="1"/>
  <c r="BS68" i="5"/>
  <c r="BR68" i="5"/>
  <c r="BQ68" i="5"/>
  <c r="BP68" i="5"/>
  <c r="BO68" i="5"/>
  <c r="BM68" i="5"/>
  <c r="BL68" i="5"/>
  <c r="BJ68" i="5"/>
  <c r="BH68" i="5"/>
  <c r="BG68" i="5"/>
  <c r="BD68" i="5"/>
  <c r="AJ68" i="5" s="1"/>
  <c r="AG68" i="5"/>
  <c r="M68" i="5"/>
  <c r="DQ67" i="5"/>
  <c r="DI67" i="5"/>
  <c r="DC67" i="5"/>
  <c r="CY67" i="5"/>
  <c r="CU67" i="5"/>
  <c r="CS67" i="5"/>
  <c r="CN67" i="5"/>
  <c r="CM67" i="5"/>
  <c r="CL67" i="5"/>
  <c r="CG67" i="5"/>
  <c r="CC67" i="5"/>
  <c r="BY67" i="5"/>
  <c r="BK67" i="5"/>
  <c r="BC67" i="5"/>
  <c r="BA67" i="5"/>
  <c r="AV67" i="5"/>
  <c r="AU67" i="5"/>
  <c r="AT67" i="5"/>
  <c r="AO67" i="5"/>
  <c r="AM67" i="5"/>
  <c r="AM189" i="5" s="1"/>
  <c r="AK67" i="5"/>
  <c r="AF67" i="5"/>
  <c r="AE67" i="5"/>
  <c r="AD67" i="5"/>
  <c r="Y67" i="5"/>
  <c r="X67" i="5"/>
  <c r="W67" i="5"/>
  <c r="V67" i="5"/>
  <c r="U67" i="5"/>
  <c r="R67" i="5"/>
  <c r="P67" i="5"/>
  <c r="N67" i="5"/>
  <c r="G67" i="5"/>
  <c r="DP66" i="5"/>
  <c r="DO66" i="5"/>
  <c r="DN66" i="5"/>
  <c r="DM66" i="5"/>
  <c r="DL66" i="5"/>
  <c r="DK66" i="5"/>
  <c r="DJ66" i="5"/>
  <c r="DH66" i="5"/>
  <c r="DG66" i="5"/>
  <c r="DE66" i="5"/>
  <c r="DD66" i="5"/>
  <c r="DB66" i="5"/>
  <c r="CZ66" i="5"/>
  <c r="CX66" i="5" s="1"/>
  <c r="CV66" i="5"/>
  <c r="DR66" i="5" s="1"/>
  <c r="BY66" i="5"/>
  <c r="BX66" i="5"/>
  <c r="BW66" i="5"/>
  <c r="BV66" i="5"/>
  <c r="BU66" i="5"/>
  <c r="BT66" i="5"/>
  <c r="BS66" i="5"/>
  <c r="BR66" i="5"/>
  <c r="BQ66" i="5"/>
  <c r="BP66" i="5"/>
  <c r="BO66" i="5"/>
  <c r="BF66" i="5" s="1"/>
  <c r="BM66" i="5"/>
  <c r="BL66" i="5"/>
  <c r="BJ66" i="5"/>
  <c r="BI66" i="5"/>
  <c r="BG66" i="5"/>
  <c r="AJ66" i="5"/>
  <c r="AI66" i="5"/>
  <c r="BE66" i="5" s="1"/>
  <c r="AG66" i="5"/>
  <c r="BZ66" i="5" s="1"/>
  <c r="M66" i="5"/>
  <c r="DR65" i="5"/>
  <c r="DP65" i="5"/>
  <c r="DO65" i="5"/>
  <c r="DN65" i="5"/>
  <c r="DK65" i="5"/>
  <c r="DJ65" i="5"/>
  <c r="DH65" i="5"/>
  <c r="DG65" i="5"/>
  <c r="DE65" i="5"/>
  <c r="DD65" i="5"/>
  <c r="DB65" i="5"/>
  <c r="CQ65" i="5"/>
  <c r="DM65" i="5" s="1"/>
  <c r="CP65" i="5"/>
  <c r="BZ65" i="5"/>
  <c r="BW65" i="5"/>
  <c r="BS65" i="5"/>
  <c r="BR65" i="5"/>
  <c r="BP65" i="5"/>
  <c r="BM65" i="5"/>
  <c r="BL65" i="5"/>
  <c r="BJ65" i="5"/>
  <c r="BI65" i="5"/>
  <c r="BG65" i="5"/>
  <c r="AY65" i="5"/>
  <c r="AX65" i="5"/>
  <c r="BT65" i="5" s="1"/>
  <c r="AC65" i="5"/>
  <c r="M65" i="5" s="1"/>
  <c r="DP64" i="5"/>
  <c r="DO64" i="5"/>
  <c r="DN64" i="5"/>
  <c r="DL64" i="5"/>
  <c r="DK64" i="5"/>
  <c r="DJ64" i="5"/>
  <c r="DH64" i="5"/>
  <c r="DG64" i="5"/>
  <c r="DE64" i="5"/>
  <c r="DD64" i="5"/>
  <c r="DB64" i="5"/>
  <c r="CR64" i="5"/>
  <c r="CQ64" i="5"/>
  <c r="DM64" i="5" s="1"/>
  <c r="BW64" i="5"/>
  <c r="BU64" i="5"/>
  <c r="BT64" i="5"/>
  <c r="BS64" i="5"/>
  <c r="BR64" i="5"/>
  <c r="BP64" i="5"/>
  <c r="BM64" i="5"/>
  <c r="BL64" i="5"/>
  <c r="BJ64" i="5"/>
  <c r="BI64" i="5"/>
  <c r="BG64" i="5"/>
  <c r="BD64" i="5"/>
  <c r="AZ64" i="5"/>
  <c r="AY64" i="5"/>
  <c r="AG64" i="5"/>
  <c r="AC64" i="5"/>
  <c r="DR63" i="5"/>
  <c r="DP63" i="5"/>
  <c r="DO63" i="5"/>
  <c r="DM63" i="5"/>
  <c r="DL63" i="5"/>
  <c r="DK63" i="5"/>
  <c r="DJ63" i="5"/>
  <c r="DH63" i="5"/>
  <c r="DG63" i="5"/>
  <c r="DE63" i="5"/>
  <c r="DD63" i="5"/>
  <c r="DB63" i="5"/>
  <c r="CR63" i="5"/>
  <c r="BZ63" i="5"/>
  <c r="BW63" i="5"/>
  <c r="BV63" i="5"/>
  <c r="BU63" i="5"/>
  <c r="BT63" i="5"/>
  <c r="BS63" i="5"/>
  <c r="BR63" i="5"/>
  <c r="BP63" i="5"/>
  <c r="BM63" i="5"/>
  <c r="BL63" i="5"/>
  <c r="BJ63" i="5"/>
  <c r="BI63" i="5"/>
  <c r="BG63" i="5"/>
  <c r="AZ63" i="5"/>
  <c r="AJ63" i="5" s="1"/>
  <c r="M63" i="5"/>
  <c r="DR62" i="5"/>
  <c r="DP62" i="5"/>
  <c r="DO62" i="5"/>
  <c r="DM62" i="5"/>
  <c r="DL62" i="5"/>
  <c r="DK62" i="5"/>
  <c r="DJ62" i="5"/>
  <c r="DH62" i="5"/>
  <c r="DG62" i="5"/>
  <c r="DE62" i="5"/>
  <c r="DD62" i="5"/>
  <c r="DB62" i="5"/>
  <c r="CR62" i="5"/>
  <c r="CQ62" i="5"/>
  <c r="CB62" i="5" s="1"/>
  <c r="BZ62" i="5"/>
  <c r="BW62" i="5"/>
  <c r="BV62" i="5"/>
  <c r="BU62" i="5"/>
  <c r="BT62" i="5"/>
  <c r="BS62" i="5"/>
  <c r="BR62" i="5"/>
  <c r="BP62" i="5"/>
  <c r="BM62" i="5"/>
  <c r="BL62" i="5"/>
  <c r="BJ62" i="5"/>
  <c r="BI62" i="5"/>
  <c r="BG62" i="5"/>
  <c r="AY62" i="5"/>
  <c r="AJ62" i="5"/>
  <c r="AC62" i="5"/>
  <c r="DP61" i="5"/>
  <c r="DO61" i="5"/>
  <c r="DN61" i="5"/>
  <c r="DM61" i="5"/>
  <c r="DL61" i="5"/>
  <c r="DK61" i="5"/>
  <c r="DJ61" i="5"/>
  <c r="DH61" i="5"/>
  <c r="DG61" i="5"/>
  <c r="DE61" i="5"/>
  <c r="DD61" i="5"/>
  <c r="DB61" i="5"/>
  <c r="CB61" i="5"/>
  <c r="BW61" i="5"/>
  <c r="BV61" i="5"/>
  <c r="BU61" i="5"/>
  <c r="BT61" i="5"/>
  <c r="BS61" i="5"/>
  <c r="BR61" i="5"/>
  <c r="BP61" i="5"/>
  <c r="BM61" i="5"/>
  <c r="BL61" i="5"/>
  <c r="BJ61" i="5"/>
  <c r="BI61" i="5"/>
  <c r="BG61" i="5"/>
  <c r="BD61" i="5"/>
  <c r="AJ61" i="5" s="1"/>
  <c r="AG61" i="5"/>
  <c r="M61" i="5"/>
  <c r="H61" i="5"/>
  <c r="DR60" i="5"/>
  <c r="DP60" i="5"/>
  <c r="DO60" i="5"/>
  <c r="DN60" i="5"/>
  <c r="DM60" i="5"/>
  <c r="DL60" i="5"/>
  <c r="DK60" i="5"/>
  <c r="DJ60" i="5"/>
  <c r="DH60" i="5"/>
  <c r="DG60" i="5"/>
  <c r="DE60" i="5"/>
  <c r="DA60" i="5"/>
  <c r="CZ60" i="5"/>
  <c r="CH60" i="5"/>
  <c r="CF60" i="5"/>
  <c r="DB60" i="5" s="1"/>
  <c r="BZ60" i="5"/>
  <c r="BW60" i="5"/>
  <c r="BV60" i="5"/>
  <c r="BU60" i="5"/>
  <c r="BT60" i="5"/>
  <c r="BS60" i="5"/>
  <c r="BR60" i="5"/>
  <c r="BP60" i="5"/>
  <c r="BM60" i="5"/>
  <c r="BI60" i="5"/>
  <c r="BG60" i="5"/>
  <c r="AP60" i="5"/>
  <c r="AN60" i="5"/>
  <c r="BJ60" i="5" s="1"/>
  <c r="S60" i="5"/>
  <c r="Q60" i="5"/>
  <c r="O60" i="5"/>
  <c r="BH60" i="5" s="1"/>
  <c r="M60" i="5"/>
  <c r="DR59" i="5"/>
  <c r="CX59" i="5" s="1"/>
  <c r="CB59" i="5"/>
  <c r="BI59" i="5"/>
  <c r="BD59" i="5"/>
  <c r="AJ59" i="5" s="1"/>
  <c r="AI59" i="5" s="1"/>
  <c r="BE59" i="5" s="1"/>
  <c r="AG59" i="5"/>
  <c r="M59" i="5" s="1"/>
  <c r="CA59" i="5" s="1"/>
  <c r="CW59" i="5" s="1"/>
  <c r="I59" i="5"/>
  <c r="H59" i="5"/>
  <c r="DP58" i="5"/>
  <c r="DO58" i="5"/>
  <c r="DN58" i="5"/>
  <c r="DM58" i="5"/>
  <c r="DL58" i="5"/>
  <c r="DK58" i="5"/>
  <c r="DJ58" i="5"/>
  <c r="DH58" i="5"/>
  <c r="DG58" i="5"/>
  <c r="DE58" i="5"/>
  <c r="CF58" i="5"/>
  <c r="CB58" i="5" s="1"/>
  <c r="BZ58" i="5"/>
  <c r="BW58" i="5"/>
  <c r="BV58" i="5"/>
  <c r="BU58" i="5"/>
  <c r="BT58" i="5"/>
  <c r="BS58" i="5"/>
  <c r="BR58" i="5"/>
  <c r="BP58" i="5"/>
  <c r="BM58" i="5"/>
  <c r="BI58" i="5"/>
  <c r="BG58" i="5"/>
  <c r="AN58" i="5"/>
  <c r="AG58" i="5"/>
  <c r="DR58" i="5" s="1"/>
  <c r="S58" i="5"/>
  <c r="Q58" i="5"/>
  <c r="DR57" i="5"/>
  <c r="DP57" i="5"/>
  <c r="DO57" i="5"/>
  <c r="DN57" i="5"/>
  <c r="DM57" i="5"/>
  <c r="DL57" i="5"/>
  <c r="DK57" i="5"/>
  <c r="DJ57" i="5"/>
  <c r="DH57" i="5"/>
  <c r="DG57" i="5"/>
  <c r="DE57" i="5"/>
  <c r="DD57" i="5"/>
  <c r="CX57" i="5" s="1"/>
  <c r="DB57" i="5"/>
  <c r="CH57" i="5"/>
  <c r="BZ57" i="5"/>
  <c r="BW57" i="5"/>
  <c r="BV57" i="5"/>
  <c r="BU57" i="5"/>
  <c r="BT57" i="5"/>
  <c r="BS57" i="5"/>
  <c r="BR57" i="5"/>
  <c r="BP57" i="5"/>
  <c r="BM57" i="5"/>
  <c r="BJ57" i="5"/>
  <c r="BI57" i="5"/>
  <c r="BG57" i="5"/>
  <c r="BF57" i="5" s="1"/>
  <c r="AP57" i="5"/>
  <c r="BL57" i="5" s="1"/>
  <c r="AJ57" i="5"/>
  <c r="M57" i="5"/>
  <c r="DR56" i="5"/>
  <c r="DP56" i="5"/>
  <c r="DO56" i="5"/>
  <c r="DN56" i="5"/>
  <c r="DM56" i="5"/>
  <c r="DL56" i="5"/>
  <c r="DK56" i="5"/>
  <c r="DJ56" i="5"/>
  <c r="DH56" i="5"/>
  <c r="DG56" i="5"/>
  <c r="DE56" i="5"/>
  <c r="DB56" i="5"/>
  <c r="CH56" i="5"/>
  <c r="CB56" i="5" s="1"/>
  <c r="CA56" i="5" s="1"/>
  <c r="CW56" i="5" s="1"/>
  <c r="BZ56" i="5"/>
  <c r="BY56" i="5"/>
  <c r="BX56" i="5"/>
  <c r="BW56" i="5"/>
  <c r="BV56" i="5"/>
  <c r="BU56" i="5"/>
  <c r="BT56" i="5"/>
  <c r="BS56" i="5"/>
  <c r="BR56" i="5"/>
  <c r="BQ56" i="5"/>
  <c r="BP56" i="5"/>
  <c r="BO56" i="5"/>
  <c r="BM56" i="5"/>
  <c r="BL56" i="5"/>
  <c r="BF56" i="5" s="1"/>
  <c r="BJ56" i="5"/>
  <c r="BI56" i="5"/>
  <c r="BH56" i="5"/>
  <c r="BG56" i="5"/>
  <c r="AP56" i="5"/>
  <c r="AJ56" i="5"/>
  <c r="AI56" i="5" s="1"/>
  <c r="BE56" i="5" s="1"/>
  <c r="M56" i="5"/>
  <c r="DR55" i="5"/>
  <c r="DP55" i="5"/>
  <c r="DO55" i="5"/>
  <c r="DN55" i="5"/>
  <c r="DM55" i="5"/>
  <c r="DL55" i="5"/>
  <c r="DJ55" i="5"/>
  <c r="DH55" i="5"/>
  <c r="DG55" i="5"/>
  <c r="DE55" i="5"/>
  <c r="DD55" i="5"/>
  <c r="DB55" i="5"/>
  <c r="CO55" i="5"/>
  <c r="CB55" i="5"/>
  <c r="BZ55" i="5"/>
  <c r="BW55" i="5"/>
  <c r="BV55" i="5"/>
  <c r="BT55" i="5"/>
  <c r="BR55" i="5"/>
  <c r="BP55" i="5"/>
  <c r="BM55" i="5"/>
  <c r="BL55" i="5"/>
  <c r="BJ55" i="5"/>
  <c r="BI55" i="5"/>
  <c r="BH55" i="5"/>
  <c r="BG55" i="5"/>
  <c r="AW55" i="5"/>
  <c r="AJ55" i="5" s="1"/>
  <c r="Z55" i="5"/>
  <c r="DR54" i="5"/>
  <c r="DP54" i="5"/>
  <c r="DO54" i="5"/>
  <c r="DM54" i="5"/>
  <c r="DL54" i="5"/>
  <c r="DK54" i="5"/>
  <c r="DJ54" i="5"/>
  <c r="DH54" i="5"/>
  <c r="DG54" i="5"/>
  <c r="DE54" i="5"/>
  <c r="DB54" i="5"/>
  <c r="DA54" i="5"/>
  <c r="CR54" i="5"/>
  <c r="DN54" i="5" s="1"/>
  <c r="CH54" i="5"/>
  <c r="DD54" i="5" s="1"/>
  <c r="CD54" i="5"/>
  <c r="CB54" i="5" s="1"/>
  <c r="BZ54" i="5"/>
  <c r="BY54" i="5"/>
  <c r="BX54" i="5"/>
  <c r="BW54" i="5"/>
  <c r="BU54" i="5"/>
  <c r="BT54" i="5"/>
  <c r="BS54" i="5"/>
  <c r="BR54" i="5"/>
  <c r="BQ54" i="5"/>
  <c r="BP54" i="5"/>
  <c r="BO54" i="5"/>
  <c r="BM54" i="5"/>
  <c r="BJ54" i="5"/>
  <c r="BI54" i="5"/>
  <c r="BG54" i="5"/>
  <c r="AZ54" i="5"/>
  <c r="BV54" i="5" s="1"/>
  <c r="AP54" i="5"/>
  <c r="BL54" i="5" s="1"/>
  <c r="AL54" i="5"/>
  <c r="O54" i="5"/>
  <c r="M54" i="5"/>
  <c r="DP53" i="5"/>
  <c r="DO53" i="5"/>
  <c r="DN53" i="5"/>
  <c r="DM53" i="5"/>
  <c r="DL53" i="5"/>
  <c r="DK53" i="5"/>
  <c r="DJ53" i="5"/>
  <c r="DH53" i="5"/>
  <c r="DG53" i="5"/>
  <c r="DE53" i="5"/>
  <c r="DD53" i="5"/>
  <c r="DB53" i="5"/>
  <c r="CV53" i="5"/>
  <c r="CB53" i="5" s="1"/>
  <c r="BY53" i="5"/>
  <c r="BX53" i="5"/>
  <c r="BW53" i="5"/>
  <c r="BV53" i="5"/>
  <c r="BU53" i="5"/>
  <c r="BT53" i="5"/>
  <c r="BS53" i="5"/>
  <c r="BR53" i="5"/>
  <c r="BQ53" i="5"/>
  <c r="BP53" i="5"/>
  <c r="BO53" i="5"/>
  <c r="BM53" i="5"/>
  <c r="BL53" i="5"/>
  <c r="BJ53" i="5"/>
  <c r="BI53" i="5"/>
  <c r="BH53" i="5"/>
  <c r="BG53" i="5"/>
  <c r="BD53" i="5"/>
  <c r="AG53" i="5"/>
  <c r="M53" i="5"/>
  <c r="DR52" i="5"/>
  <c r="DP52" i="5"/>
  <c r="DO52" i="5"/>
  <c r="DN52" i="5"/>
  <c r="DM52" i="5"/>
  <c r="DL52" i="5"/>
  <c r="DJ52" i="5"/>
  <c r="DH52" i="5"/>
  <c r="DG52" i="5"/>
  <c r="DE52" i="5"/>
  <c r="DD52" i="5"/>
  <c r="DB52" i="5"/>
  <c r="CO52" i="5"/>
  <c r="CB52" i="5" s="1"/>
  <c r="BZ52" i="5"/>
  <c r="BW52" i="5"/>
  <c r="BV52" i="5"/>
  <c r="BU52" i="5"/>
  <c r="BT52" i="5"/>
  <c r="BS52" i="5"/>
  <c r="BR52" i="5"/>
  <c r="BQ52" i="5"/>
  <c r="BP52" i="5"/>
  <c r="BO52" i="5"/>
  <c r="BM52" i="5"/>
  <c r="BL52" i="5"/>
  <c r="BJ52" i="5"/>
  <c r="BI52" i="5"/>
  <c r="BH52" i="5"/>
  <c r="BG52" i="5"/>
  <c r="AJ52" i="5"/>
  <c r="AI52" i="5" s="1"/>
  <c r="BE52" i="5" s="1"/>
  <c r="M52" i="5"/>
  <c r="DR51" i="5"/>
  <c r="DP51" i="5"/>
  <c r="DO51" i="5"/>
  <c r="DN51" i="5"/>
  <c r="DM51" i="5"/>
  <c r="DL51" i="5"/>
  <c r="DK51" i="5"/>
  <c r="DJ51" i="5"/>
  <c r="DH51" i="5"/>
  <c r="DG51" i="5"/>
  <c r="DE51" i="5"/>
  <c r="DD51" i="5"/>
  <c r="DB51" i="5"/>
  <c r="CB51" i="5"/>
  <c r="BW51" i="5"/>
  <c r="BV51" i="5"/>
  <c r="BU51" i="5"/>
  <c r="BT51" i="5"/>
  <c r="BS51" i="5"/>
  <c r="BR51" i="5"/>
  <c r="BP51" i="5"/>
  <c r="BM51" i="5"/>
  <c r="BL51" i="5"/>
  <c r="BJ51" i="5"/>
  <c r="BI51" i="5"/>
  <c r="BH51" i="5"/>
  <c r="BG51" i="5"/>
  <c r="BD51" i="5"/>
  <c r="AJ51" i="5" s="1"/>
  <c r="AG51" i="5"/>
  <c r="H51" i="5"/>
  <c r="DP50" i="5"/>
  <c r="DO50" i="5"/>
  <c r="DN50" i="5"/>
  <c r="DL50" i="5"/>
  <c r="DK50" i="5"/>
  <c r="DJ50" i="5"/>
  <c r="DH50" i="5"/>
  <c r="DG50" i="5"/>
  <c r="DE50" i="5"/>
  <c r="DD50" i="5"/>
  <c r="DB50" i="5"/>
  <c r="CV50" i="5"/>
  <c r="CQ50" i="5"/>
  <c r="BW50" i="5"/>
  <c r="BV50" i="5"/>
  <c r="BU50" i="5"/>
  <c r="BT50" i="5"/>
  <c r="BS50" i="5"/>
  <c r="BR50" i="5"/>
  <c r="BP50" i="5"/>
  <c r="BM50" i="5"/>
  <c r="BL50" i="5"/>
  <c r="BJ50" i="5"/>
  <c r="BI50" i="5"/>
  <c r="BH50" i="5"/>
  <c r="BG50" i="5"/>
  <c r="BD50" i="5"/>
  <c r="AJ50" i="5" s="1"/>
  <c r="AG50" i="5"/>
  <c r="DR50" i="5" s="1"/>
  <c r="AB50" i="5"/>
  <c r="DR49" i="5"/>
  <c r="DP49" i="5"/>
  <c r="DO49" i="5"/>
  <c r="DN49" i="5"/>
  <c r="DM49" i="5"/>
  <c r="DL49" i="5"/>
  <c r="DK49" i="5"/>
  <c r="DJ49" i="5"/>
  <c r="DH49" i="5"/>
  <c r="DG49" i="5"/>
  <c r="DE49" i="5"/>
  <c r="DD49" i="5"/>
  <c r="DB49" i="5"/>
  <c r="DA49" i="5"/>
  <c r="CD49" i="5"/>
  <c r="BZ49" i="5"/>
  <c r="BW49" i="5"/>
  <c r="BU49" i="5"/>
  <c r="BT49" i="5"/>
  <c r="BS49" i="5"/>
  <c r="BR49" i="5"/>
  <c r="BP49" i="5"/>
  <c r="BM49" i="5"/>
  <c r="BL49" i="5"/>
  <c r="BJ49" i="5"/>
  <c r="BI49" i="5"/>
  <c r="BH49" i="5"/>
  <c r="BG49" i="5"/>
  <c r="AZ49" i="5"/>
  <c r="BV49" i="5" s="1"/>
  <c r="AJ49" i="5"/>
  <c r="AI49" i="5"/>
  <c r="BE49" i="5" s="1"/>
  <c r="O49" i="5"/>
  <c r="M49" i="5"/>
  <c r="DR48" i="5"/>
  <c r="DP48" i="5"/>
  <c r="DO48" i="5"/>
  <c r="DN48" i="5"/>
  <c r="DK48" i="5"/>
  <c r="DJ48" i="5"/>
  <c r="DH48" i="5"/>
  <c r="DB48" i="5"/>
  <c r="DA48" i="5"/>
  <c r="CQ48" i="5"/>
  <c r="DM48" i="5" s="1"/>
  <c r="CK48" i="5"/>
  <c r="CK194" i="5" s="1"/>
  <c r="CJ48" i="5"/>
  <c r="CI48" i="5"/>
  <c r="CH48" i="5"/>
  <c r="DD48" i="5" s="1"/>
  <c r="CD48" i="5"/>
  <c r="BZ48" i="5"/>
  <c r="BW48" i="5"/>
  <c r="BS48" i="5"/>
  <c r="BR48" i="5"/>
  <c r="BQ48" i="5"/>
  <c r="BP48" i="5"/>
  <c r="BJ48" i="5"/>
  <c r="BI48" i="5"/>
  <c r="BG48" i="5"/>
  <c r="AZ48" i="5"/>
  <c r="BV48" i="5" s="1"/>
  <c r="AY48" i="5"/>
  <c r="BU48" i="5" s="1"/>
  <c r="AX48" i="5"/>
  <c r="AS48" i="5"/>
  <c r="AR48" i="5"/>
  <c r="AQ48" i="5"/>
  <c r="AP48" i="5"/>
  <c r="AL48" i="5"/>
  <c r="AC48" i="5"/>
  <c r="AB48" i="5"/>
  <c r="AA48" i="5"/>
  <c r="T48" i="5"/>
  <c r="S48" i="5"/>
  <c r="O48" i="5"/>
  <c r="DR47" i="5"/>
  <c r="DP47" i="5"/>
  <c r="DO47" i="5"/>
  <c r="DN47" i="5"/>
  <c r="DM47" i="5"/>
  <c r="DK47" i="5"/>
  <c r="DJ47" i="5"/>
  <c r="DH47" i="5"/>
  <c r="DG47" i="5"/>
  <c r="DE47" i="5"/>
  <c r="DD47" i="5"/>
  <c r="DB47" i="5"/>
  <c r="DA47" i="5"/>
  <c r="CP47" i="5"/>
  <c r="CB47" i="5" s="1"/>
  <c r="BZ47" i="5"/>
  <c r="BW47" i="5"/>
  <c r="BV47" i="5"/>
  <c r="BU47" i="5"/>
  <c r="BS47" i="5"/>
  <c r="BR47" i="5"/>
  <c r="BQ47" i="5"/>
  <c r="BP47" i="5"/>
  <c r="BO47" i="5"/>
  <c r="BM47" i="5"/>
  <c r="BL47" i="5"/>
  <c r="BJ47" i="5"/>
  <c r="BI47" i="5"/>
  <c r="BG47" i="5"/>
  <c r="AX47" i="5"/>
  <c r="AJ47" i="5"/>
  <c r="AA47" i="5"/>
  <c r="O47" i="5"/>
  <c r="DP46" i="5"/>
  <c r="DO46" i="5"/>
  <c r="DN46" i="5"/>
  <c r="DM46" i="5"/>
  <c r="DL46" i="5"/>
  <c r="DK46" i="5"/>
  <c r="DJ46" i="5"/>
  <c r="DH46" i="5"/>
  <c r="DG46" i="5"/>
  <c r="DE46" i="5"/>
  <c r="DD46" i="5"/>
  <c r="DB46" i="5"/>
  <c r="CV46" i="5"/>
  <c r="BW46" i="5"/>
  <c r="BV46" i="5"/>
  <c r="BU46" i="5"/>
  <c r="BT46" i="5"/>
  <c r="BS46" i="5"/>
  <c r="BR46" i="5"/>
  <c r="BQ46" i="5"/>
  <c r="BP46" i="5"/>
  <c r="BO46" i="5"/>
  <c r="BM46" i="5"/>
  <c r="BL46" i="5"/>
  <c r="BJ46" i="5"/>
  <c r="BI46" i="5"/>
  <c r="BG46" i="5"/>
  <c r="BD46" i="5"/>
  <c r="AG46" i="5"/>
  <c r="M46" i="5"/>
  <c r="DR45" i="5"/>
  <c r="DP45" i="5"/>
  <c r="DO45" i="5"/>
  <c r="DN45" i="5"/>
  <c r="DM45" i="5"/>
  <c r="DL45" i="5"/>
  <c r="DK45" i="5"/>
  <c r="DJ45" i="5"/>
  <c r="DH45" i="5"/>
  <c r="DG45" i="5"/>
  <c r="DD45" i="5"/>
  <c r="DB45" i="5"/>
  <c r="DA45" i="5"/>
  <c r="CI45" i="5"/>
  <c r="DE45" i="5" s="1"/>
  <c r="CD45" i="5"/>
  <c r="BZ45" i="5"/>
  <c r="BW45" i="5"/>
  <c r="BU45" i="5"/>
  <c r="BT45" i="5"/>
  <c r="BS45" i="5"/>
  <c r="BR45" i="5"/>
  <c r="BQ45" i="5"/>
  <c r="BP45" i="5"/>
  <c r="BO45" i="5"/>
  <c r="BL45" i="5"/>
  <c r="BJ45" i="5"/>
  <c r="BI45" i="5"/>
  <c r="BG45" i="5"/>
  <c r="AZ45" i="5"/>
  <c r="BV45" i="5" s="1"/>
  <c r="AQ45" i="5"/>
  <c r="AL45" i="5"/>
  <c r="T45" i="5"/>
  <c r="O45" i="5"/>
  <c r="DR44" i="5"/>
  <c r="DP44" i="5"/>
  <c r="DO44" i="5"/>
  <c r="DN44" i="5"/>
  <c r="DM44" i="5"/>
  <c r="DL44" i="5"/>
  <c r="DK44" i="5"/>
  <c r="DJ44" i="5"/>
  <c r="DH44" i="5"/>
  <c r="DG44" i="5"/>
  <c r="DD44" i="5"/>
  <c r="DB44" i="5"/>
  <c r="DA44" i="5"/>
  <c r="CI44" i="5"/>
  <c r="CD44" i="5"/>
  <c r="CZ44" i="5" s="1"/>
  <c r="BZ44" i="5"/>
  <c r="BW44" i="5"/>
  <c r="BU44" i="5"/>
  <c r="BT44" i="5"/>
  <c r="BS44" i="5"/>
  <c r="BR44" i="5"/>
  <c r="BQ44" i="5"/>
  <c r="BQ67" i="5" s="1"/>
  <c r="BP44" i="5"/>
  <c r="BO44" i="5"/>
  <c r="BL44" i="5"/>
  <c r="BJ44" i="5"/>
  <c r="BI44" i="5"/>
  <c r="BG44" i="5"/>
  <c r="AZ44" i="5"/>
  <c r="BV44" i="5" s="1"/>
  <c r="AQ44" i="5"/>
  <c r="AL44" i="5"/>
  <c r="T44" i="5"/>
  <c r="O44" i="5"/>
  <c r="DR43" i="5"/>
  <c r="DP43" i="5"/>
  <c r="DO43" i="5"/>
  <c r="DN43" i="5"/>
  <c r="DM43" i="5"/>
  <c r="DL43" i="5"/>
  <c r="DK43" i="5"/>
  <c r="DJ43" i="5"/>
  <c r="DH43" i="5"/>
  <c r="DG43" i="5"/>
  <c r="DE43" i="5"/>
  <c r="CH43" i="5"/>
  <c r="DD43" i="5" s="1"/>
  <c r="BZ43" i="5"/>
  <c r="BW43" i="5"/>
  <c r="BV43" i="5"/>
  <c r="BU43" i="5"/>
  <c r="BT43" i="5"/>
  <c r="BS43" i="5"/>
  <c r="BR43" i="5"/>
  <c r="BM43" i="5"/>
  <c r="BJ43" i="5"/>
  <c r="BI43" i="5"/>
  <c r="BG43" i="5"/>
  <c r="AP43" i="5"/>
  <c r="AJ43" i="5" s="1"/>
  <c r="S43" i="5"/>
  <c r="M43" i="5"/>
  <c r="DR42" i="5"/>
  <c r="DP42" i="5"/>
  <c r="DO42" i="5"/>
  <c r="DN42" i="5"/>
  <c r="DM42" i="5"/>
  <c r="DL42" i="5"/>
  <c r="DK42" i="5"/>
  <c r="DJ42" i="5"/>
  <c r="DH42" i="5"/>
  <c r="DG42" i="5"/>
  <c r="DE42" i="5"/>
  <c r="CH42" i="5"/>
  <c r="DD42" i="5" s="1"/>
  <c r="CB42" i="5"/>
  <c r="BZ42" i="5"/>
  <c r="BW42" i="5"/>
  <c r="BV42" i="5"/>
  <c r="BU42" i="5"/>
  <c r="BT42" i="5"/>
  <c r="BS42" i="5"/>
  <c r="BR42" i="5"/>
  <c r="BQ42" i="5"/>
  <c r="BP42" i="5"/>
  <c r="BO42" i="5"/>
  <c r="BM42" i="5"/>
  <c r="BJ42" i="5"/>
  <c r="BI42" i="5"/>
  <c r="BG42" i="5"/>
  <c r="AP42" i="5"/>
  <c r="AJ42" i="5" s="1"/>
  <c r="AI42" i="5" s="1"/>
  <c r="BE42" i="5" s="1"/>
  <c r="M42" i="5"/>
  <c r="H42" i="5"/>
  <c r="DR41" i="5"/>
  <c r="DP41" i="5"/>
  <c r="DO41" i="5"/>
  <c r="DN41" i="5"/>
  <c r="DM41" i="5"/>
  <c r="DL41" i="5"/>
  <c r="DK41" i="5"/>
  <c r="DJ41" i="5"/>
  <c r="DH41" i="5"/>
  <c r="DG41" i="5"/>
  <c r="DE41" i="5"/>
  <c r="CH41" i="5"/>
  <c r="CB41" i="5" s="1"/>
  <c r="H41" i="5" s="1"/>
  <c r="BZ41" i="5"/>
  <c r="BW41" i="5"/>
  <c r="BV41" i="5"/>
  <c r="BU41" i="5"/>
  <c r="BT41" i="5"/>
  <c r="BS41" i="5"/>
  <c r="BR41" i="5"/>
  <c r="BQ41" i="5"/>
  <c r="BP41" i="5"/>
  <c r="BP67" i="5" s="1"/>
  <c r="BO41" i="5"/>
  <c r="BM41" i="5"/>
  <c r="BJ41" i="5"/>
  <c r="BI41" i="5"/>
  <c r="BG41" i="5"/>
  <c r="AP41" i="5"/>
  <c r="AJ41" i="5" s="1"/>
  <c r="S41" i="5"/>
  <c r="DR40" i="5"/>
  <c r="DP40" i="5"/>
  <c r="DO40" i="5"/>
  <c r="DN40" i="5"/>
  <c r="DM40" i="5"/>
  <c r="DL40" i="5"/>
  <c r="DK40" i="5"/>
  <c r="DJ40" i="5"/>
  <c r="DH40" i="5"/>
  <c r="DG40" i="5"/>
  <c r="DE40" i="5"/>
  <c r="CH40" i="5"/>
  <c r="CB40" i="5" s="1"/>
  <c r="BZ40" i="5"/>
  <c r="BW40" i="5"/>
  <c r="BV40" i="5"/>
  <c r="BU40" i="5"/>
  <c r="BT40" i="5"/>
  <c r="BS40" i="5"/>
  <c r="BR40" i="5"/>
  <c r="BQ40" i="5"/>
  <c r="BP40" i="5"/>
  <c r="BO40" i="5"/>
  <c r="BM40" i="5"/>
  <c r="BL40" i="5"/>
  <c r="BF40" i="5" s="1"/>
  <c r="BJ40" i="5"/>
  <c r="BI40" i="5"/>
  <c r="BG40" i="5"/>
  <c r="AP40" i="5"/>
  <c r="AJ40" i="5"/>
  <c r="AI40" i="5" s="1"/>
  <c r="BE40" i="5" s="1"/>
  <c r="M40" i="5"/>
  <c r="DR39" i="5"/>
  <c r="DO39" i="5"/>
  <c r="DN39" i="5"/>
  <c r="DL39" i="5"/>
  <c r="DK39" i="5"/>
  <c r="DJ39" i="5"/>
  <c r="DH39" i="5"/>
  <c r="DG39" i="5"/>
  <c r="DE39" i="5"/>
  <c r="CT39" i="5"/>
  <c r="CT194" i="5" s="1"/>
  <c r="CQ39" i="5"/>
  <c r="CH39" i="5"/>
  <c r="DD39" i="5" s="1"/>
  <c r="CB39" i="5"/>
  <c r="H39" i="5" s="1"/>
  <c r="BZ39" i="5"/>
  <c r="BW39" i="5"/>
  <c r="BV39" i="5"/>
  <c r="BT39" i="5"/>
  <c r="BS39" i="5"/>
  <c r="BR39" i="5"/>
  <c r="BQ39" i="5"/>
  <c r="BP39" i="5"/>
  <c r="BO39" i="5"/>
  <c r="BM39" i="5"/>
  <c r="BJ39" i="5"/>
  <c r="BI39" i="5"/>
  <c r="BG39" i="5"/>
  <c r="BB39" i="5"/>
  <c r="AY39" i="5"/>
  <c r="AP39" i="5"/>
  <c r="BL39" i="5" s="1"/>
  <c r="AB39" i="5"/>
  <c r="DR38" i="5"/>
  <c r="DP38" i="5"/>
  <c r="DO38" i="5"/>
  <c r="DN38" i="5"/>
  <c r="DM38" i="5"/>
  <c r="DL38" i="5"/>
  <c r="DK38" i="5"/>
  <c r="DJ38" i="5"/>
  <c r="DH38" i="5"/>
  <c r="DG38" i="5"/>
  <c r="DE38" i="5"/>
  <c r="DD38" i="5"/>
  <c r="CX38" i="5"/>
  <c r="CB38" i="5"/>
  <c r="BZ38" i="5"/>
  <c r="BW38" i="5"/>
  <c r="BV38" i="5"/>
  <c r="BU38" i="5"/>
  <c r="BT38" i="5"/>
  <c r="BS38" i="5"/>
  <c r="BR38" i="5"/>
  <c r="BQ38" i="5"/>
  <c r="BP38" i="5"/>
  <c r="BO38" i="5"/>
  <c r="BM38" i="5"/>
  <c r="BL38" i="5"/>
  <c r="BJ38" i="5"/>
  <c r="BI38" i="5"/>
  <c r="BG38" i="5"/>
  <c r="AP38" i="5"/>
  <c r="AJ38" i="5" s="1"/>
  <c r="AI38" i="5"/>
  <c r="BE38" i="5" s="1"/>
  <c r="M38" i="5"/>
  <c r="DR37" i="5"/>
  <c r="DP37" i="5"/>
  <c r="DO37" i="5"/>
  <c r="DM37" i="5"/>
  <c r="DL37" i="5"/>
  <c r="DK37" i="5"/>
  <c r="DJ37" i="5"/>
  <c r="DH37" i="5"/>
  <c r="DG37" i="5"/>
  <c r="DE37" i="5"/>
  <c r="DB37" i="5"/>
  <c r="DA37" i="5"/>
  <c r="CR37" i="5"/>
  <c r="DN37" i="5" s="1"/>
  <c r="CH37" i="5"/>
  <c r="DD37" i="5" s="1"/>
  <c r="CD37" i="5"/>
  <c r="CZ37" i="5" s="1"/>
  <c r="BZ37" i="5"/>
  <c r="BW37" i="5"/>
  <c r="BU37" i="5"/>
  <c r="BT37" i="5"/>
  <c r="BS37" i="5"/>
  <c r="BR37" i="5"/>
  <c r="BP37" i="5"/>
  <c r="BM37" i="5"/>
  <c r="BJ37" i="5"/>
  <c r="BI37" i="5"/>
  <c r="BG37" i="5"/>
  <c r="AZ37" i="5"/>
  <c r="BV37" i="5" s="1"/>
  <c r="AP37" i="5"/>
  <c r="BL37" i="5" s="1"/>
  <c r="AL37" i="5"/>
  <c r="O37" i="5"/>
  <c r="M37" i="5"/>
  <c r="DR36" i="5"/>
  <c r="DP36" i="5"/>
  <c r="DO36" i="5"/>
  <c r="DN36" i="5"/>
  <c r="DM36" i="5"/>
  <c r="DL36" i="5"/>
  <c r="DK36" i="5"/>
  <c r="DJ36" i="5"/>
  <c r="DH36" i="5"/>
  <c r="DG36" i="5"/>
  <c r="DE36" i="5"/>
  <c r="DD36" i="5"/>
  <c r="DB36" i="5"/>
  <c r="DA36" i="5"/>
  <c r="CD36" i="5"/>
  <c r="BZ36" i="5"/>
  <c r="BW36" i="5"/>
  <c r="BV36" i="5"/>
  <c r="BU36" i="5"/>
  <c r="BT36" i="5"/>
  <c r="BS36" i="5"/>
  <c r="BR36" i="5"/>
  <c r="BP36" i="5"/>
  <c r="BM36" i="5"/>
  <c r="BL36" i="5"/>
  <c r="BJ36" i="5"/>
  <c r="BI36" i="5"/>
  <c r="BH36" i="5"/>
  <c r="BG36" i="5"/>
  <c r="AJ36" i="5"/>
  <c r="AI36" i="5"/>
  <c r="BE36" i="5" s="1"/>
  <c r="O36" i="5"/>
  <c r="M36" i="5" s="1"/>
  <c r="DR35" i="5"/>
  <c r="DP35" i="5"/>
  <c r="DO35" i="5"/>
  <c r="DN35" i="5"/>
  <c r="DM35" i="5"/>
  <c r="DL35" i="5"/>
  <c r="DK35" i="5"/>
  <c r="DJ35" i="5"/>
  <c r="DJ194" i="5" s="1"/>
  <c r="DH35" i="5"/>
  <c r="DG35" i="5"/>
  <c r="CZ35" i="5"/>
  <c r="CH35" i="5"/>
  <c r="CF35" i="5"/>
  <c r="DB35" i="5" s="1"/>
  <c r="CE35" i="5"/>
  <c r="BZ35" i="5"/>
  <c r="BW35" i="5"/>
  <c r="BV35" i="5"/>
  <c r="BU35" i="5"/>
  <c r="BT35" i="5"/>
  <c r="BS35" i="5"/>
  <c r="BR35" i="5"/>
  <c r="BP35" i="5"/>
  <c r="BM35" i="5"/>
  <c r="BI35" i="5"/>
  <c r="BG35" i="5"/>
  <c r="AP35" i="5"/>
  <c r="BL35" i="5" s="1"/>
  <c r="AN35" i="5"/>
  <c r="T35" i="5"/>
  <c r="S35" i="5"/>
  <c r="S67" i="5" s="1"/>
  <c r="Q35" i="5"/>
  <c r="O35" i="5"/>
  <c r="O194" i="5" s="1"/>
  <c r="DQ34" i="5"/>
  <c r="DI34" i="5"/>
  <c r="DF34" i="5"/>
  <c r="CU34" i="5"/>
  <c r="CT34" i="5"/>
  <c r="CS34" i="5"/>
  <c r="CO34" i="5"/>
  <c r="CN34" i="5"/>
  <c r="CM34" i="5"/>
  <c r="CL34" i="5"/>
  <c r="CK34" i="5"/>
  <c r="CJ34" i="5"/>
  <c r="CG34" i="5"/>
  <c r="CF34" i="5"/>
  <c r="CD34" i="5"/>
  <c r="CC34" i="5"/>
  <c r="BY34" i="5"/>
  <c r="BQ34" i="5"/>
  <c r="BN34" i="5"/>
  <c r="BK34" i="5"/>
  <c r="BJ34" i="5"/>
  <c r="BI34" i="5"/>
  <c r="BC34" i="5"/>
  <c r="BB34" i="5"/>
  <c r="BA34" i="5"/>
  <c r="AW34" i="5"/>
  <c r="AV34" i="5"/>
  <c r="AU34" i="5"/>
  <c r="AT34" i="5"/>
  <c r="AT189" i="5" s="1"/>
  <c r="AT200" i="5" s="1"/>
  <c r="AS34" i="5"/>
  <c r="AR34" i="5"/>
  <c r="AO34" i="5"/>
  <c r="AN34" i="5"/>
  <c r="AL34" i="5"/>
  <c r="AK34" i="5"/>
  <c r="AF34" i="5"/>
  <c r="AF189" i="5" s="1"/>
  <c r="AE34" i="5"/>
  <c r="AD34" i="5"/>
  <c r="AD189" i="5" s="1"/>
  <c r="AD200" i="5" s="1"/>
  <c r="AC34" i="5"/>
  <c r="AA34" i="5"/>
  <c r="Z34" i="5"/>
  <c r="Y34" i="5"/>
  <c r="Y189" i="5" s="1"/>
  <c r="Y200" i="5" s="1"/>
  <c r="X34" i="5"/>
  <c r="X189" i="5" s="1"/>
  <c r="W34" i="5"/>
  <c r="V34" i="5"/>
  <c r="V189" i="5" s="1"/>
  <c r="V200" i="5" s="1"/>
  <c r="U34" i="5"/>
  <c r="U189" i="5" s="1"/>
  <c r="S34" i="5"/>
  <c r="R34" i="5"/>
  <c r="Q34" i="5"/>
  <c r="P34" i="5"/>
  <c r="P189" i="5" s="1"/>
  <c r="P200" i="5" s="1"/>
  <c r="N34" i="5"/>
  <c r="N189" i="5" s="1"/>
  <c r="N200" i="5" s="1"/>
  <c r="G34" i="5"/>
  <c r="DR33" i="5"/>
  <c r="DP33" i="5"/>
  <c r="DO33" i="5"/>
  <c r="DN33" i="5"/>
  <c r="DM33" i="5"/>
  <c r="DK33" i="5"/>
  <c r="DJ33" i="5"/>
  <c r="DH33" i="5"/>
  <c r="DG33" i="5"/>
  <c r="DE33" i="5"/>
  <c r="DD33" i="5"/>
  <c r="DB33" i="5"/>
  <c r="CZ33" i="5"/>
  <c r="CY33" i="5"/>
  <c r="CP33" i="5"/>
  <c r="BW33" i="5"/>
  <c r="BV33" i="5"/>
  <c r="BU33" i="5"/>
  <c r="BS33" i="5"/>
  <c r="BR33" i="5"/>
  <c r="BM33" i="5"/>
  <c r="BL33" i="5"/>
  <c r="BJ33" i="5"/>
  <c r="BH33" i="5"/>
  <c r="BG33" i="5"/>
  <c r="BD33" i="5"/>
  <c r="BZ33" i="5" s="1"/>
  <c r="AX33" i="5"/>
  <c r="AJ33" i="5" s="1"/>
  <c r="AI33" i="5"/>
  <c r="BE33" i="5" s="1"/>
  <c r="M33" i="5"/>
  <c r="DR32" i="5"/>
  <c r="DP32" i="5"/>
  <c r="DO32" i="5"/>
  <c r="DN32" i="5"/>
  <c r="DK32" i="5"/>
  <c r="DJ32" i="5"/>
  <c r="DH32" i="5"/>
  <c r="DG32" i="5"/>
  <c r="DE32" i="5"/>
  <c r="DD32" i="5"/>
  <c r="DC32" i="5"/>
  <c r="DB32" i="5"/>
  <c r="CZ32" i="5"/>
  <c r="CY32" i="5"/>
  <c r="CP32" i="5"/>
  <c r="DL32" i="5" s="1"/>
  <c r="BZ32" i="5"/>
  <c r="BW32" i="5"/>
  <c r="BV32" i="5"/>
  <c r="BS32" i="5"/>
  <c r="BR32" i="5"/>
  <c r="BM32" i="5"/>
  <c r="BL32" i="5"/>
  <c r="BJ32" i="5"/>
  <c r="BH32" i="5"/>
  <c r="BG32" i="5"/>
  <c r="AY32" i="5"/>
  <c r="BU32" i="5" s="1"/>
  <c r="AX32" i="5"/>
  <c r="M32" i="5"/>
  <c r="DR31" i="5"/>
  <c r="DP31" i="5"/>
  <c r="DO31" i="5"/>
  <c r="DN31" i="5"/>
  <c r="DM31" i="5"/>
  <c r="DK31" i="5"/>
  <c r="DJ31" i="5"/>
  <c r="DH31" i="5"/>
  <c r="DG31" i="5"/>
  <c r="DE31" i="5"/>
  <c r="DD31" i="5"/>
  <c r="DC31" i="5"/>
  <c r="DB31" i="5"/>
  <c r="CZ31" i="5"/>
  <c r="CY31" i="5"/>
  <c r="CP31" i="5"/>
  <c r="CB31" i="5" s="1"/>
  <c r="H31" i="5" s="1"/>
  <c r="I31" i="5" s="1"/>
  <c r="BZ31" i="5"/>
  <c r="BW31" i="5"/>
  <c r="BV31" i="5"/>
  <c r="BU31" i="5"/>
  <c r="BS31" i="5"/>
  <c r="BR31" i="5"/>
  <c r="BM31" i="5"/>
  <c r="BL31" i="5"/>
  <c r="BJ31" i="5"/>
  <c r="BH31" i="5"/>
  <c r="BG31" i="5"/>
  <c r="AX31" i="5"/>
  <c r="BT31" i="5" s="1"/>
  <c r="M31" i="5"/>
  <c r="DR30" i="5"/>
  <c r="DP30" i="5"/>
  <c r="DO30" i="5"/>
  <c r="DN30" i="5"/>
  <c r="DM30" i="5"/>
  <c r="DK30" i="5"/>
  <c r="DJ30" i="5"/>
  <c r="DH30" i="5"/>
  <c r="DG30" i="5"/>
  <c r="DE30" i="5"/>
  <c r="DD30" i="5"/>
  <c r="DC30" i="5"/>
  <c r="DB30" i="5"/>
  <c r="CZ30" i="5"/>
  <c r="CY30" i="5"/>
  <c r="CP30" i="5"/>
  <c r="DL30" i="5" s="1"/>
  <c r="BZ30" i="5"/>
  <c r="BW30" i="5"/>
  <c r="BV30" i="5"/>
  <c r="BU30" i="5"/>
  <c r="BT30" i="5"/>
  <c r="BS30" i="5"/>
  <c r="BR30" i="5"/>
  <c r="BM30" i="5"/>
  <c r="BL30" i="5"/>
  <c r="BJ30" i="5"/>
  <c r="BH30" i="5"/>
  <c r="BG30" i="5"/>
  <c r="BF30" i="5"/>
  <c r="AX30" i="5"/>
  <c r="AJ30" i="5"/>
  <c r="AI30" i="5" s="1"/>
  <c r="BE30" i="5" s="1"/>
  <c r="M30" i="5"/>
  <c r="DR29" i="5"/>
  <c r="DP29" i="5"/>
  <c r="DO29" i="5"/>
  <c r="DN29" i="5"/>
  <c r="DM29" i="5"/>
  <c r="DL29" i="5"/>
  <c r="DK29" i="5"/>
  <c r="DJ29" i="5"/>
  <c r="DH29" i="5"/>
  <c r="DG29" i="5"/>
  <c r="DE29" i="5"/>
  <c r="DD29" i="5"/>
  <c r="CX29" i="5" s="1"/>
  <c r="DC29" i="5"/>
  <c r="DB29" i="5"/>
  <c r="CZ29" i="5"/>
  <c r="CY29" i="5"/>
  <c r="CB29" i="5"/>
  <c r="H29" i="5" s="1"/>
  <c r="I29" i="5" s="1"/>
  <c r="CA29" i="5"/>
  <c r="CW29" i="5" s="1"/>
  <c r="BZ29" i="5"/>
  <c r="BW29" i="5"/>
  <c r="BV29" i="5"/>
  <c r="BU29" i="5"/>
  <c r="BT29" i="5"/>
  <c r="BS29" i="5"/>
  <c r="BR29" i="5"/>
  <c r="BM29" i="5"/>
  <c r="BL29" i="5"/>
  <c r="BJ29" i="5"/>
  <c r="BH29" i="5"/>
  <c r="BG29" i="5"/>
  <c r="BF29" i="5"/>
  <c r="AJ29" i="5"/>
  <c r="AI29" i="5" s="1"/>
  <c r="BE29" i="5" s="1"/>
  <c r="M29" i="5"/>
  <c r="DR28" i="5"/>
  <c r="DP28" i="5"/>
  <c r="DO28" i="5"/>
  <c r="DN28" i="5"/>
  <c r="DM28" i="5"/>
  <c r="DL28" i="5"/>
  <c r="DK28" i="5"/>
  <c r="DJ28" i="5"/>
  <c r="DH28" i="5"/>
  <c r="DG28" i="5"/>
  <c r="DE28" i="5"/>
  <c r="DD28" i="5"/>
  <c r="DC28" i="5"/>
  <c r="CX28" i="5" s="1"/>
  <c r="DB28" i="5"/>
  <c r="CZ28" i="5"/>
  <c r="CY28" i="5"/>
  <c r="CB28" i="5"/>
  <c r="H28" i="5" s="1"/>
  <c r="BZ28" i="5"/>
  <c r="BW28" i="5"/>
  <c r="BV28" i="5"/>
  <c r="BU28" i="5"/>
  <c r="BT28" i="5"/>
  <c r="BS28" i="5"/>
  <c r="BR28" i="5"/>
  <c r="BM28" i="5"/>
  <c r="BL28" i="5"/>
  <c r="BF28" i="5" s="1"/>
  <c r="BJ28" i="5"/>
  <c r="BH28" i="5"/>
  <c r="BG28" i="5"/>
  <c r="AJ28" i="5"/>
  <c r="M28" i="5"/>
  <c r="DR27" i="5"/>
  <c r="DP27" i="5"/>
  <c r="DO27" i="5"/>
  <c r="DN27" i="5"/>
  <c r="DM27" i="5"/>
  <c r="DL27" i="5"/>
  <c r="DK27" i="5"/>
  <c r="DJ27" i="5"/>
  <c r="DH27" i="5"/>
  <c r="DG27" i="5"/>
  <c r="DE27" i="5"/>
  <c r="DD27" i="5"/>
  <c r="DC27" i="5"/>
  <c r="DB27" i="5"/>
  <c r="CZ27" i="5"/>
  <c r="CY27" i="5"/>
  <c r="CX27" i="5" s="1"/>
  <c r="CB27" i="5"/>
  <c r="BZ27" i="5"/>
  <c r="BW27" i="5"/>
  <c r="BV27" i="5"/>
  <c r="BU27" i="5"/>
  <c r="BT27" i="5"/>
  <c r="BS27" i="5"/>
  <c r="BR27" i="5"/>
  <c r="BM27" i="5"/>
  <c r="BL27" i="5"/>
  <c r="BJ27" i="5"/>
  <c r="BH27" i="5"/>
  <c r="BG27" i="5"/>
  <c r="AJ27" i="5"/>
  <c r="AI27" i="5" s="1"/>
  <c r="BE27" i="5" s="1"/>
  <c r="M27" i="5"/>
  <c r="DR26" i="5"/>
  <c r="DP26" i="5"/>
  <c r="DO26" i="5"/>
  <c r="DN26" i="5"/>
  <c r="DM26" i="5"/>
  <c r="DL26" i="5"/>
  <c r="DK26" i="5"/>
  <c r="DJ26" i="5"/>
  <c r="DH26" i="5"/>
  <c r="DG26" i="5"/>
  <c r="DE26" i="5"/>
  <c r="DD26" i="5"/>
  <c r="DC26" i="5"/>
  <c r="DB26" i="5"/>
  <c r="CZ26" i="5"/>
  <c r="CX26" i="5" s="1"/>
  <c r="CY26" i="5"/>
  <c r="CB26" i="5"/>
  <c r="H26" i="5" s="1"/>
  <c r="CA26" i="5"/>
  <c r="CW26" i="5" s="1"/>
  <c r="BZ26" i="5"/>
  <c r="BW26" i="5"/>
  <c r="BV26" i="5"/>
  <c r="BU26" i="5"/>
  <c r="BT26" i="5"/>
  <c r="BS26" i="5"/>
  <c r="BR26" i="5"/>
  <c r="BM26" i="5"/>
  <c r="BL26" i="5"/>
  <c r="BJ26" i="5"/>
  <c r="BH26" i="5"/>
  <c r="BG26" i="5"/>
  <c r="AJ26" i="5"/>
  <c r="AI26" i="5" s="1"/>
  <c r="BE26" i="5" s="1"/>
  <c r="M26" i="5"/>
  <c r="I26" i="5"/>
  <c r="DR25" i="5"/>
  <c r="DP25" i="5"/>
  <c r="DO25" i="5"/>
  <c r="DN25" i="5"/>
  <c r="DL25" i="5"/>
  <c r="DK25" i="5"/>
  <c r="DJ25" i="5"/>
  <c r="DH25" i="5"/>
  <c r="DG25" i="5"/>
  <c r="DE25" i="5"/>
  <c r="DD25" i="5"/>
  <c r="DC25" i="5"/>
  <c r="DB25" i="5"/>
  <c r="CZ25" i="5"/>
  <c r="CY25" i="5"/>
  <c r="CQ25" i="5"/>
  <c r="CH25" i="5"/>
  <c r="BZ25" i="5"/>
  <c r="BW25" i="5"/>
  <c r="BV25" i="5"/>
  <c r="BT25" i="5"/>
  <c r="BS25" i="5"/>
  <c r="BR25" i="5"/>
  <c r="BM25" i="5"/>
  <c r="BJ25" i="5"/>
  <c r="BH25" i="5"/>
  <c r="BG25" i="5"/>
  <c r="AY25" i="5"/>
  <c r="AP25" i="5"/>
  <c r="AJ25" i="5" s="1"/>
  <c r="AI25" i="5" s="1"/>
  <c r="BE25" i="5" s="1"/>
  <c r="M25" i="5"/>
  <c r="DR24" i="5"/>
  <c r="DP24" i="5"/>
  <c r="DO24" i="5"/>
  <c r="DN24" i="5"/>
  <c r="DM24" i="5"/>
  <c r="DL24" i="5"/>
  <c r="DK24" i="5"/>
  <c r="DJ24" i="5"/>
  <c r="DH24" i="5"/>
  <c r="DG24" i="5"/>
  <c r="DE24" i="5"/>
  <c r="DC24" i="5"/>
  <c r="DB24" i="5"/>
  <c r="CZ24" i="5"/>
  <c r="CY24" i="5"/>
  <c r="CH24" i="5"/>
  <c r="CB24" i="5" s="1"/>
  <c r="H24" i="5" s="1"/>
  <c r="BZ24" i="5"/>
  <c r="BY24" i="5"/>
  <c r="BY195" i="5" s="1"/>
  <c r="BX24" i="5"/>
  <c r="BW24" i="5"/>
  <c r="BV24" i="5"/>
  <c r="BU24" i="5"/>
  <c r="BT24" i="5"/>
  <c r="BS24" i="5"/>
  <c r="BR24" i="5"/>
  <c r="BQ24" i="5"/>
  <c r="BP24" i="5"/>
  <c r="BO24" i="5"/>
  <c r="BM24" i="5"/>
  <c r="BJ24" i="5"/>
  <c r="BH24" i="5"/>
  <c r="BG24" i="5"/>
  <c r="AP24" i="5"/>
  <c r="BL24" i="5" s="1"/>
  <c r="M24" i="5"/>
  <c r="DR23" i="5"/>
  <c r="DP23" i="5"/>
  <c r="DO23" i="5"/>
  <c r="DM23" i="5"/>
  <c r="DL23" i="5"/>
  <c r="DK23" i="5"/>
  <c r="DJ23" i="5"/>
  <c r="DH23" i="5"/>
  <c r="DG23" i="5"/>
  <c r="DE23" i="5"/>
  <c r="DD23" i="5"/>
  <c r="DC23" i="5"/>
  <c r="DB23" i="5"/>
  <c r="CZ23" i="5"/>
  <c r="CY23" i="5"/>
  <c r="CR23" i="5"/>
  <c r="CB23" i="5" s="1"/>
  <c r="BZ23" i="5"/>
  <c r="BW23" i="5"/>
  <c r="BU23" i="5"/>
  <c r="BT23" i="5"/>
  <c r="BS23" i="5"/>
  <c r="BR23" i="5"/>
  <c r="BM23" i="5"/>
  <c r="BL23" i="5"/>
  <c r="BJ23" i="5"/>
  <c r="BH23" i="5"/>
  <c r="BG23" i="5"/>
  <c r="AZ23" i="5"/>
  <c r="M23" i="5"/>
  <c r="DP22" i="5"/>
  <c r="DO22" i="5"/>
  <c r="DN22" i="5"/>
  <c r="DM22" i="5"/>
  <c r="DL22" i="5"/>
  <c r="DK22" i="5"/>
  <c r="DJ22" i="5"/>
  <c r="DH22" i="5"/>
  <c r="DG22" i="5"/>
  <c r="DE22" i="5"/>
  <c r="DD22" i="5"/>
  <c r="DC22" i="5"/>
  <c r="DB22" i="5"/>
  <c r="CZ22" i="5"/>
  <c r="CY22" i="5"/>
  <c r="CV22" i="5"/>
  <c r="BW22" i="5"/>
  <c r="BU22" i="5"/>
  <c r="BT22" i="5"/>
  <c r="BS22" i="5"/>
  <c r="BR22" i="5"/>
  <c r="BM22" i="5"/>
  <c r="BL22" i="5"/>
  <c r="BJ22" i="5"/>
  <c r="BH22" i="5"/>
  <c r="BG22" i="5"/>
  <c r="BD22" i="5"/>
  <c r="AZ22" i="5"/>
  <c r="BV22" i="5" s="1"/>
  <c r="AG22" i="5"/>
  <c r="M22" i="5"/>
  <c r="DR21" i="5"/>
  <c r="DP21" i="5"/>
  <c r="DO21" i="5"/>
  <c r="DN21" i="5"/>
  <c r="DM21" i="5"/>
  <c r="DL21" i="5"/>
  <c r="DK21" i="5"/>
  <c r="DJ21" i="5"/>
  <c r="DH21" i="5"/>
  <c r="DG21" i="5"/>
  <c r="DD21" i="5"/>
  <c r="DC21" i="5"/>
  <c r="DB21" i="5"/>
  <c r="CZ21" i="5"/>
  <c r="CY21" i="5"/>
  <c r="CB21" i="5"/>
  <c r="H21" i="5" s="1"/>
  <c r="BZ21" i="5"/>
  <c r="BW21" i="5"/>
  <c r="BV21" i="5"/>
  <c r="BU21" i="5"/>
  <c r="BT21" i="5"/>
  <c r="BS21" i="5"/>
  <c r="BR21" i="5"/>
  <c r="BL21" i="5"/>
  <c r="BJ21" i="5"/>
  <c r="BH21" i="5"/>
  <c r="BG21" i="5"/>
  <c r="AJ21" i="5"/>
  <c r="T21" i="5"/>
  <c r="DE21" i="5" s="1"/>
  <c r="O21" i="5"/>
  <c r="DR20" i="5"/>
  <c r="DP20" i="5"/>
  <c r="DO20" i="5"/>
  <c r="DN20" i="5"/>
  <c r="DM20" i="5"/>
  <c r="DL20" i="5"/>
  <c r="DK20" i="5"/>
  <c r="DJ20" i="5"/>
  <c r="DH20" i="5"/>
  <c r="DG20" i="5"/>
  <c r="DE20" i="5"/>
  <c r="DD20" i="5"/>
  <c r="DC20" i="5"/>
  <c r="DB20" i="5"/>
  <c r="CZ20" i="5"/>
  <c r="CY20" i="5"/>
  <c r="CX20" i="5" s="1"/>
  <c r="CB20" i="5"/>
  <c r="H20" i="5" s="1"/>
  <c r="CA20" i="5"/>
  <c r="CW20" i="5" s="1"/>
  <c r="BZ20" i="5"/>
  <c r="BW20" i="5"/>
  <c r="BV20" i="5"/>
  <c r="BU20" i="5"/>
  <c r="BT20" i="5"/>
  <c r="BS20" i="5"/>
  <c r="BR20" i="5"/>
  <c r="BM20" i="5"/>
  <c r="BF20" i="5" s="1"/>
  <c r="BL20" i="5"/>
  <c r="BJ20" i="5"/>
  <c r="BH20" i="5"/>
  <c r="BG20" i="5"/>
  <c r="AJ20" i="5"/>
  <c r="AI20" i="5"/>
  <c r="BE20" i="5" s="1"/>
  <c r="T20" i="5"/>
  <c r="M20" i="5"/>
  <c r="DR19" i="5"/>
  <c r="DP19" i="5"/>
  <c r="DO19" i="5"/>
  <c r="DN19" i="5"/>
  <c r="DM19" i="5"/>
  <c r="DL19" i="5"/>
  <c r="DK19" i="5"/>
  <c r="DJ19" i="5"/>
  <c r="DH19" i="5"/>
  <c r="DG19" i="5"/>
  <c r="DD19" i="5"/>
  <c r="DC19" i="5"/>
  <c r="DB19" i="5"/>
  <c r="CY19" i="5"/>
  <c r="CI19" i="5"/>
  <c r="BZ19" i="5"/>
  <c r="BW19" i="5"/>
  <c r="BV19" i="5"/>
  <c r="BU19" i="5"/>
  <c r="BT19" i="5"/>
  <c r="BS19" i="5"/>
  <c r="BR19" i="5"/>
  <c r="BL19" i="5"/>
  <c r="BJ19" i="5"/>
  <c r="BG19" i="5"/>
  <c r="AQ19" i="5"/>
  <c r="AJ19" i="5" s="1"/>
  <c r="T19" i="5"/>
  <c r="BM19" i="5" s="1"/>
  <c r="O19" i="5"/>
  <c r="DR18" i="5"/>
  <c r="DP18" i="5"/>
  <c r="DO18" i="5"/>
  <c r="DN18" i="5"/>
  <c r="DM18" i="5"/>
  <c r="DL18" i="5"/>
  <c r="DK18" i="5"/>
  <c r="DJ18" i="5"/>
  <c r="DH18" i="5"/>
  <c r="DG18" i="5"/>
  <c r="DC18" i="5"/>
  <c r="DB18" i="5"/>
  <c r="CZ18" i="5"/>
  <c r="CY18" i="5"/>
  <c r="CH18" i="5"/>
  <c r="DD18" i="5" s="1"/>
  <c r="BZ18" i="5"/>
  <c r="BW18" i="5"/>
  <c r="BV18" i="5"/>
  <c r="BU18" i="5"/>
  <c r="BT18" i="5"/>
  <c r="BS18" i="5"/>
  <c r="BR18" i="5"/>
  <c r="BQ18" i="5"/>
  <c r="BQ193" i="5" s="1"/>
  <c r="BP18" i="5"/>
  <c r="BO18" i="5"/>
  <c r="BO193" i="5" s="1"/>
  <c r="BJ18" i="5"/>
  <c r="BH18" i="5"/>
  <c r="BG18" i="5"/>
  <c r="AQ18" i="5"/>
  <c r="AP18" i="5"/>
  <c r="T18" i="5"/>
  <c r="M18" i="5"/>
  <c r="DP17" i="5"/>
  <c r="DP193" i="5" s="1"/>
  <c r="DO17" i="5"/>
  <c r="DN17" i="5"/>
  <c r="DM17" i="5"/>
  <c r="DL17" i="5"/>
  <c r="DK17" i="5"/>
  <c r="DK193" i="5" s="1"/>
  <c r="DJ17" i="5"/>
  <c r="DH17" i="5"/>
  <c r="DG17" i="5"/>
  <c r="DG193" i="5" s="1"/>
  <c r="DE17" i="5"/>
  <c r="DC17" i="5"/>
  <c r="DB17" i="5"/>
  <c r="DB193" i="5" s="1"/>
  <c r="CZ17" i="5"/>
  <c r="CY17" i="5"/>
  <c r="CV17" i="5"/>
  <c r="CV193" i="5" s="1"/>
  <c r="BW17" i="5"/>
  <c r="BV17" i="5"/>
  <c r="BU17" i="5"/>
  <c r="BT17" i="5"/>
  <c r="BS17" i="5"/>
  <c r="BR17" i="5"/>
  <c r="BM17" i="5"/>
  <c r="BJ17" i="5"/>
  <c r="BJ193" i="5" s="1"/>
  <c r="BH17" i="5"/>
  <c r="BG17" i="5"/>
  <c r="BD17" i="5"/>
  <c r="AP17" i="5"/>
  <c r="AJ17" i="5" s="1"/>
  <c r="AG17" i="5"/>
  <c r="DR16" i="5"/>
  <c r="DP16" i="5"/>
  <c r="DO16" i="5"/>
  <c r="DN16" i="5"/>
  <c r="DL16" i="5"/>
  <c r="DK16" i="5"/>
  <c r="DJ16" i="5"/>
  <c r="DH16" i="5"/>
  <c r="DG16" i="5"/>
  <c r="DE16" i="5"/>
  <c r="DD16" i="5"/>
  <c r="DC16" i="5"/>
  <c r="DB16" i="5"/>
  <c r="CZ16" i="5"/>
  <c r="CY16" i="5"/>
  <c r="CB16" i="5"/>
  <c r="H16" i="5" s="1"/>
  <c r="BZ16" i="5"/>
  <c r="BW16" i="5"/>
  <c r="BV16" i="5"/>
  <c r="BT16" i="5"/>
  <c r="BS16" i="5"/>
  <c r="BR16" i="5"/>
  <c r="BM16" i="5"/>
  <c r="BL16" i="5"/>
  <c r="BJ16" i="5"/>
  <c r="BH16" i="5"/>
  <c r="BG16" i="5"/>
  <c r="AJ16" i="5"/>
  <c r="AB16" i="5"/>
  <c r="DR15" i="5"/>
  <c r="DP15" i="5"/>
  <c r="DO15" i="5"/>
  <c r="DN15" i="5"/>
  <c r="DM15" i="5"/>
  <c r="DL15" i="5"/>
  <c r="DK15" i="5"/>
  <c r="DJ15" i="5"/>
  <c r="DH15" i="5"/>
  <c r="DG15" i="5"/>
  <c r="DE15" i="5"/>
  <c r="DD15" i="5"/>
  <c r="DC15" i="5"/>
  <c r="DB15" i="5"/>
  <c r="CZ15" i="5"/>
  <c r="CY15" i="5"/>
  <c r="CB15" i="5"/>
  <c r="BZ15" i="5"/>
  <c r="BW15" i="5"/>
  <c r="BV15" i="5"/>
  <c r="BU15" i="5"/>
  <c r="BT15" i="5"/>
  <c r="BS15" i="5"/>
  <c r="BR15" i="5"/>
  <c r="BM15" i="5"/>
  <c r="BL15" i="5"/>
  <c r="BJ15" i="5"/>
  <c r="BH15" i="5"/>
  <c r="BG15" i="5"/>
  <c r="BF15" i="5" s="1"/>
  <c r="AJ15" i="5"/>
  <c r="AI15" i="5" s="1"/>
  <c r="BE15" i="5" s="1"/>
  <c r="M15" i="5"/>
  <c r="DR14" i="5"/>
  <c r="DP14" i="5"/>
  <c r="DO14" i="5"/>
  <c r="DN14" i="5"/>
  <c r="DM14" i="5"/>
  <c r="DL14" i="5"/>
  <c r="DK14" i="5"/>
  <c r="DJ14" i="5"/>
  <c r="DH14" i="5"/>
  <c r="DG14" i="5"/>
  <c r="DE14" i="5"/>
  <c r="DD14" i="5"/>
  <c r="DC14" i="5"/>
  <c r="DB14" i="5"/>
  <c r="CX14" i="5" s="1"/>
  <c r="CZ14" i="5"/>
  <c r="CY14" i="5"/>
  <c r="CB14" i="5"/>
  <c r="CA14" i="5"/>
  <c r="CW14" i="5" s="1"/>
  <c r="BZ14" i="5"/>
  <c r="BW14" i="5"/>
  <c r="BV14" i="5"/>
  <c r="BU14" i="5"/>
  <c r="BT14" i="5"/>
  <c r="BS14" i="5"/>
  <c r="BR14" i="5"/>
  <c r="BM14" i="5"/>
  <c r="BL14" i="5"/>
  <c r="BJ14" i="5"/>
  <c r="BH14" i="5"/>
  <c r="BF14" i="5" s="1"/>
  <c r="BG14" i="5"/>
  <c r="AJ14" i="5"/>
  <c r="AI14" i="5"/>
  <c r="BE14" i="5" s="1"/>
  <c r="M14" i="5"/>
  <c r="H14" i="5"/>
  <c r="DR13" i="5"/>
  <c r="DP13" i="5"/>
  <c r="DO13" i="5"/>
  <c r="DN13" i="5"/>
  <c r="DM13" i="5"/>
  <c r="DL13" i="5"/>
  <c r="DK13" i="5"/>
  <c r="DJ13" i="5"/>
  <c r="DH13" i="5"/>
  <c r="DG13" i="5"/>
  <c r="DE13" i="5"/>
  <c r="DD13" i="5"/>
  <c r="DC13" i="5"/>
  <c r="DB13" i="5"/>
  <c r="CZ13" i="5"/>
  <c r="CY13" i="5"/>
  <c r="CH13" i="5"/>
  <c r="CB13" i="5" s="1"/>
  <c r="H13" i="5" s="1"/>
  <c r="I13" i="5" s="1"/>
  <c r="BZ13" i="5"/>
  <c r="BW13" i="5"/>
  <c r="BV13" i="5"/>
  <c r="BU13" i="5"/>
  <c r="BT13" i="5"/>
  <c r="BS13" i="5"/>
  <c r="BR13" i="5"/>
  <c r="BM13" i="5"/>
  <c r="BJ13" i="5"/>
  <c r="BH13" i="5"/>
  <c r="BG13" i="5"/>
  <c r="AP13" i="5"/>
  <c r="AJ13" i="5" s="1"/>
  <c r="M13" i="5"/>
  <c r="DR12" i="5"/>
  <c r="DP12" i="5"/>
  <c r="DO12" i="5"/>
  <c r="DN12" i="5"/>
  <c r="DM12" i="5"/>
  <c r="DL12" i="5"/>
  <c r="DK12" i="5"/>
  <c r="DJ12" i="5"/>
  <c r="DH12" i="5"/>
  <c r="DG12" i="5"/>
  <c r="DE12" i="5"/>
  <c r="DC12" i="5"/>
  <c r="DB12" i="5"/>
  <c r="CZ12" i="5"/>
  <c r="CY12" i="5"/>
  <c r="CH12" i="5"/>
  <c r="DD12" i="5" s="1"/>
  <c r="BZ12" i="5"/>
  <c r="BW12" i="5"/>
  <c r="BV12" i="5"/>
  <c r="BU12" i="5"/>
  <c r="BT12" i="5"/>
  <c r="BS12" i="5"/>
  <c r="BR12" i="5"/>
  <c r="BM12" i="5"/>
  <c r="BJ12" i="5"/>
  <c r="BH12" i="5"/>
  <c r="BG12" i="5"/>
  <c r="AP12" i="5"/>
  <c r="BL12" i="5" s="1"/>
  <c r="M12" i="5"/>
  <c r="DR11" i="5"/>
  <c r="DP11" i="5"/>
  <c r="DO11" i="5"/>
  <c r="DN11" i="5"/>
  <c r="DM11" i="5"/>
  <c r="DL11" i="5"/>
  <c r="DK11" i="5"/>
  <c r="DJ11" i="5"/>
  <c r="DH11" i="5"/>
  <c r="DG11" i="5"/>
  <c r="DE11" i="5"/>
  <c r="DC11" i="5"/>
  <c r="DB11" i="5"/>
  <c r="CZ11" i="5"/>
  <c r="CY11" i="5"/>
  <c r="CH11" i="5"/>
  <c r="DD11" i="5" s="1"/>
  <c r="BZ11" i="5"/>
  <c r="BW11" i="5"/>
  <c r="BV11" i="5"/>
  <c r="BU11" i="5"/>
  <c r="BT11" i="5"/>
  <c r="BS11" i="5"/>
  <c r="BR11" i="5"/>
  <c r="BM11" i="5"/>
  <c r="BJ11" i="5"/>
  <c r="BH11" i="5"/>
  <c r="BG11" i="5"/>
  <c r="AP11" i="5"/>
  <c r="BL11" i="5" s="1"/>
  <c r="AJ11" i="5"/>
  <c r="AI11" i="5" s="1"/>
  <c r="BE11" i="5" s="1"/>
  <c r="S11" i="5"/>
  <c r="S195" i="5" s="1"/>
  <c r="M11" i="5"/>
  <c r="DP10" i="5"/>
  <c r="DO10" i="5"/>
  <c r="DN10" i="5"/>
  <c r="DM10" i="5"/>
  <c r="DL10" i="5"/>
  <c r="DK10" i="5"/>
  <c r="DJ10" i="5"/>
  <c r="DH10" i="5"/>
  <c r="DG10" i="5"/>
  <c r="DE10" i="5"/>
  <c r="DD10" i="5"/>
  <c r="DC10" i="5"/>
  <c r="DB10" i="5"/>
  <c r="CZ10" i="5"/>
  <c r="CY10" i="5"/>
  <c r="CV10" i="5"/>
  <c r="DR10" i="5" s="1"/>
  <c r="CB10" i="5"/>
  <c r="BW10" i="5"/>
  <c r="BV10" i="5"/>
  <c r="BU10" i="5"/>
  <c r="BT10" i="5"/>
  <c r="BS10" i="5"/>
  <c r="BR10" i="5"/>
  <c r="BQ10" i="5"/>
  <c r="BP10" i="5"/>
  <c r="BO10" i="5"/>
  <c r="BM10" i="5"/>
  <c r="BL10" i="5"/>
  <c r="BJ10" i="5"/>
  <c r="BH10" i="5"/>
  <c r="BG10" i="5"/>
  <c r="BD10" i="5"/>
  <c r="BZ10" i="5" s="1"/>
  <c r="AG10" i="5"/>
  <c r="AG195" i="5" s="1"/>
  <c r="M10" i="5"/>
  <c r="DR9" i="5"/>
  <c r="DP9" i="5"/>
  <c r="DO9" i="5"/>
  <c r="DN9" i="5"/>
  <c r="DM9" i="5"/>
  <c r="DK9" i="5"/>
  <c r="DJ9" i="5"/>
  <c r="DH9" i="5"/>
  <c r="DG9" i="5"/>
  <c r="DE9" i="5"/>
  <c r="DD9" i="5"/>
  <c r="DC9" i="5"/>
  <c r="DB9" i="5"/>
  <c r="CZ9" i="5"/>
  <c r="CY9" i="5"/>
  <c r="CP9" i="5"/>
  <c r="DL9" i="5" s="1"/>
  <c r="BZ9" i="5"/>
  <c r="BW9" i="5"/>
  <c r="BV9" i="5"/>
  <c r="BU9" i="5"/>
  <c r="BS9" i="5"/>
  <c r="BR9" i="5"/>
  <c r="BM9" i="5"/>
  <c r="BL9" i="5"/>
  <c r="BJ9" i="5"/>
  <c r="BH9" i="5"/>
  <c r="BG9" i="5"/>
  <c r="AX9" i="5"/>
  <c r="M9" i="5"/>
  <c r="DR8" i="5"/>
  <c r="DP8" i="5"/>
  <c r="DO8" i="5"/>
  <c r="DN8" i="5"/>
  <c r="DM8" i="5"/>
  <c r="DL8" i="5"/>
  <c r="DK8" i="5"/>
  <c r="DJ8" i="5"/>
  <c r="DH8" i="5"/>
  <c r="DG8" i="5"/>
  <c r="DE8" i="5"/>
  <c r="DD8" i="5"/>
  <c r="DC8" i="5"/>
  <c r="DB8" i="5"/>
  <c r="CZ8" i="5"/>
  <c r="CY8" i="5"/>
  <c r="CX8" i="5"/>
  <c r="CB8" i="5"/>
  <c r="H8" i="5" s="1"/>
  <c r="I8" i="5" s="1"/>
  <c r="BZ8" i="5"/>
  <c r="BW8" i="5"/>
  <c r="BV8" i="5"/>
  <c r="BU8" i="5"/>
  <c r="BT8" i="5"/>
  <c r="BS8" i="5"/>
  <c r="BR8" i="5"/>
  <c r="BM8" i="5"/>
  <c r="BL8" i="5"/>
  <c r="BJ8" i="5"/>
  <c r="BH8" i="5"/>
  <c r="BG8" i="5"/>
  <c r="BF8" i="5" s="1"/>
  <c r="AJ8" i="5"/>
  <c r="AI8" i="5"/>
  <c r="BE8" i="5" s="1"/>
  <c r="M8" i="5"/>
  <c r="DR7" i="5"/>
  <c r="DP7" i="5"/>
  <c r="DO7" i="5"/>
  <c r="DN7" i="5"/>
  <c r="DM7" i="5"/>
  <c r="DK7" i="5"/>
  <c r="DJ7" i="5"/>
  <c r="DH7" i="5"/>
  <c r="DG7" i="5"/>
  <c r="DE7" i="5"/>
  <c r="DD7" i="5"/>
  <c r="DC7" i="5"/>
  <c r="DB7" i="5"/>
  <c r="CZ7" i="5"/>
  <c r="CY7" i="5"/>
  <c r="CP7" i="5"/>
  <c r="DL7" i="5" s="1"/>
  <c r="BZ7" i="5"/>
  <c r="BW7" i="5"/>
  <c r="BV7" i="5"/>
  <c r="BU7" i="5"/>
  <c r="BS7" i="5"/>
  <c r="BR7" i="5"/>
  <c r="BM7" i="5"/>
  <c r="BL7" i="5"/>
  <c r="BJ7" i="5"/>
  <c r="BH7" i="5"/>
  <c r="BG7" i="5"/>
  <c r="AX7" i="5"/>
  <c r="BT7" i="5" s="1"/>
  <c r="M7" i="5"/>
  <c r="DR6" i="5"/>
  <c r="DP6" i="5"/>
  <c r="DO6" i="5"/>
  <c r="DN6" i="5"/>
  <c r="DM6" i="5"/>
  <c r="DL6" i="5"/>
  <c r="DK6" i="5"/>
  <c r="DJ6" i="5"/>
  <c r="DH6" i="5"/>
  <c r="DG6" i="5"/>
  <c r="DG34" i="5" s="1"/>
  <c r="DE6" i="5"/>
  <c r="DD6" i="5"/>
  <c r="DC6" i="5"/>
  <c r="DB6" i="5"/>
  <c r="CZ6" i="5"/>
  <c r="CY6" i="5"/>
  <c r="CB6" i="5"/>
  <c r="BZ6" i="5"/>
  <c r="BW6" i="5"/>
  <c r="BV6" i="5"/>
  <c r="BU6" i="5"/>
  <c r="BT6" i="5"/>
  <c r="BS6" i="5"/>
  <c r="BR6" i="5"/>
  <c r="BM6" i="5"/>
  <c r="BL6" i="5"/>
  <c r="BJ6" i="5"/>
  <c r="BH6" i="5"/>
  <c r="BG6" i="5"/>
  <c r="AJ6" i="5"/>
  <c r="M6" i="5"/>
  <c r="DR5" i="5"/>
  <c r="DP5" i="5"/>
  <c r="DO5" i="5"/>
  <c r="DN5" i="5"/>
  <c r="DM5" i="5"/>
  <c r="DL5" i="5"/>
  <c r="DK5" i="5"/>
  <c r="DJ5" i="5"/>
  <c r="DH5" i="5"/>
  <c r="DG5" i="5"/>
  <c r="DE5" i="5"/>
  <c r="DD5" i="5"/>
  <c r="DC5" i="5"/>
  <c r="DB5" i="5"/>
  <c r="CZ5" i="5"/>
  <c r="CY5" i="5"/>
  <c r="CB5" i="5"/>
  <c r="CA5" i="5"/>
  <c r="CW5" i="5" s="1"/>
  <c r="BZ5" i="5"/>
  <c r="BW5" i="5"/>
  <c r="BV5" i="5"/>
  <c r="BU5" i="5"/>
  <c r="BT5" i="5"/>
  <c r="BS5" i="5"/>
  <c r="BR5" i="5"/>
  <c r="BM5" i="5"/>
  <c r="BL5" i="5"/>
  <c r="BJ5" i="5"/>
  <c r="BH5" i="5"/>
  <c r="BF5" i="5" s="1"/>
  <c r="BG5" i="5"/>
  <c r="AJ5" i="5"/>
  <c r="AI5" i="5"/>
  <c r="BE5" i="5" s="1"/>
  <c r="M5" i="5"/>
  <c r="H5" i="5"/>
  <c r="DR4" i="5"/>
  <c r="DP4" i="5"/>
  <c r="DO4" i="5"/>
  <c r="DN4" i="5"/>
  <c r="DM4" i="5"/>
  <c r="DK4" i="5"/>
  <c r="DJ4" i="5"/>
  <c r="DH4" i="5"/>
  <c r="DG4" i="5"/>
  <c r="DE4" i="5"/>
  <c r="DD4" i="5"/>
  <c r="DC4" i="5"/>
  <c r="DB4" i="5"/>
  <c r="CZ4" i="5"/>
  <c r="CY4" i="5"/>
  <c r="CP4" i="5"/>
  <c r="DL4" i="5" s="1"/>
  <c r="BZ4" i="5"/>
  <c r="BX4" i="5"/>
  <c r="BW4" i="5"/>
  <c r="BV4" i="5"/>
  <c r="BU4" i="5"/>
  <c r="BS4" i="5"/>
  <c r="BR4" i="5"/>
  <c r="BQ4" i="5"/>
  <c r="BQ195" i="5" s="1"/>
  <c r="BP4" i="5"/>
  <c r="BO4" i="5"/>
  <c r="BO195" i="5" s="1"/>
  <c r="BM4" i="5"/>
  <c r="BL4" i="5"/>
  <c r="BJ4" i="5"/>
  <c r="BH4" i="5"/>
  <c r="BG4" i="5"/>
  <c r="AX4" i="5"/>
  <c r="M4" i="5"/>
  <c r="BV3" i="5"/>
  <c r="CR3" i="5" s="1"/>
  <c r="AZ3" i="4"/>
  <c r="BV3" i="4" s="1"/>
  <c r="CR3" i="4" s="1"/>
  <c r="DN3" i="4" s="1"/>
  <c r="M4" i="4"/>
  <c r="AX4" i="4"/>
  <c r="AJ4" i="4" s="1"/>
  <c r="AI4" i="4" s="1"/>
  <c r="BE4" i="4" s="1"/>
  <c r="BG4" i="4"/>
  <c r="BH4" i="4"/>
  <c r="BJ4" i="4"/>
  <c r="BL4" i="4"/>
  <c r="BM4" i="4"/>
  <c r="BO4" i="4"/>
  <c r="BP4" i="4"/>
  <c r="BQ4" i="4"/>
  <c r="BR4" i="4"/>
  <c r="BS4" i="4"/>
  <c r="BT4" i="4"/>
  <c r="BU4" i="4"/>
  <c r="BV4" i="4"/>
  <c r="BW4" i="4"/>
  <c r="BX4" i="4"/>
  <c r="BZ4" i="4"/>
  <c r="CP4" i="4"/>
  <c r="CB4" i="4" s="1"/>
  <c r="H4" i="4" s="1"/>
  <c r="CY4" i="4"/>
  <c r="CZ4" i="4"/>
  <c r="DB4" i="4"/>
  <c r="DC4" i="4"/>
  <c r="DC34" i="4" s="1"/>
  <c r="DD4" i="4"/>
  <c r="DE4" i="4"/>
  <c r="DG4" i="4"/>
  <c r="DH4" i="4"/>
  <c r="DJ4" i="4"/>
  <c r="DK4" i="4"/>
  <c r="DM4" i="4"/>
  <c r="DN4" i="4"/>
  <c r="DO4" i="4"/>
  <c r="DP4" i="4"/>
  <c r="DR4" i="4"/>
  <c r="H5" i="4"/>
  <c r="M5" i="4"/>
  <c r="AJ5" i="4"/>
  <c r="BG5" i="4"/>
  <c r="BH5" i="4"/>
  <c r="BJ5" i="4"/>
  <c r="BL5" i="4"/>
  <c r="BM5" i="4"/>
  <c r="BR5" i="4"/>
  <c r="BS5" i="4"/>
  <c r="BT5" i="4"/>
  <c r="BU5" i="4"/>
  <c r="BV5" i="4"/>
  <c r="BW5" i="4"/>
  <c r="BZ5" i="4"/>
  <c r="CB5" i="4"/>
  <c r="CY5" i="4"/>
  <c r="CZ5" i="4"/>
  <c r="DB5" i="4"/>
  <c r="DC5" i="4"/>
  <c r="DD5" i="4"/>
  <c r="DE5" i="4"/>
  <c r="DG5" i="4"/>
  <c r="DH5" i="4"/>
  <c r="DJ5" i="4"/>
  <c r="DK5" i="4"/>
  <c r="DL5" i="4"/>
  <c r="DM5" i="4"/>
  <c r="DN5" i="4"/>
  <c r="DO5" i="4"/>
  <c r="DP5" i="4"/>
  <c r="DR5" i="4"/>
  <c r="M6" i="4"/>
  <c r="AJ6" i="4"/>
  <c r="BG6" i="4"/>
  <c r="BH6" i="4"/>
  <c r="BJ6" i="4"/>
  <c r="BL6" i="4"/>
  <c r="BM6" i="4"/>
  <c r="BR6" i="4"/>
  <c r="BS6" i="4"/>
  <c r="BT6" i="4"/>
  <c r="BU6" i="4"/>
  <c r="BV6" i="4"/>
  <c r="BW6" i="4"/>
  <c r="BZ6" i="4"/>
  <c r="CB6" i="4"/>
  <c r="H6" i="4" s="1"/>
  <c r="CY6" i="4"/>
  <c r="CZ6" i="4"/>
  <c r="DB6" i="4"/>
  <c r="DC6" i="4"/>
  <c r="DD6" i="4"/>
  <c r="DE6" i="4"/>
  <c r="DG6" i="4"/>
  <c r="DH6" i="4"/>
  <c r="DJ6" i="4"/>
  <c r="DK6" i="4"/>
  <c r="DL6" i="4"/>
  <c r="DM6" i="4"/>
  <c r="DN6" i="4"/>
  <c r="DO6" i="4"/>
  <c r="DP6" i="4"/>
  <c r="DR6" i="4"/>
  <c r="M7" i="4"/>
  <c r="AX7" i="4"/>
  <c r="BG7" i="4"/>
  <c r="BH7" i="4"/>
  <c r="BJ7" i="4"/>
  <c r="BL7" i="4"/>
  <c r="BM7" i="4"/>
  <c r="BR7" i="4"/>
  <c r="BS7" i="4"/>
  <c r="BU7" i="4"/>
  <c r="BV7" i="4"/>
  <c r="BW7" i="4"/>
  <c r="BZ7" i="4"/>
  <c r="CP7" i="4"/>
  <c r="DL7" i="4" s="1"/>
  <c r="CY7" i="4"/>
  <c r="CZ7" i="4"/>
  <c r="DB7" i="4"/>
  <c r="DC7" i="4"/>
  <c r="DD7" i="4"/>
  <c r="DE7" i="4"/>
  <c r="DG7" i="4"/>
  <c r="DH7" i="4"/>
  <c r="DJ7" i="4"/>
  <c r="DK7" i="4"/>
  <c r="DM7" i="4"/>
  <c r="DN7" i="4"/>
  <c r="DO7" i="4"/>
  <c r="DP7" i="4"/>
  <c r="DR7" i="4"/>
  <c r="M8" i="4"/>
  <c r="AJ8" i="4"/>
  <c r="AI8" i="4" s="1"/>
  <c r="BE8" i="4" s="1"/>
  <c r="BG8" i="4"/>
  <c r="BH8" i="4"/>
  <c r="BJ8" i="4"/>
  <c r="BL8" i="4"/>
  <c r="BM8" i="4"/>
  <c r="BR8" i="4"/>
  <c r="BS8" i="4"/>
  <c r="BT8" i="4"/>
  <c r="BU8" i="4"/>
  <c r="BV8" i="4"/>
  <c r="BW8" i="4"/>
  <c r="BZ8" i="4"/>
  <c r="CB8" i="4"/>
  <c r="CY8" i="4"/>
  <c r="CZ8" i="4"/>
  <c r="DB8" i="4"/>
  <c r="DC8" i="4"/>
  <c r="DD8" i="4"/>
  <c r="DE8" i="4"/>
  <c r="DG8" i="4"/>
  <c r="DH8" i="4"/>
  <c r="CX8" i="4" s="1"/>
  <c r="DJ8" i="4"/>
  <c r="DK8" i="4"/>
  <c r="DL8" i="4"/>
  <c r="DM8" i="4"/>
  <c r="DN8" i="4"/>
  <c r="DO8" i="4"/>
  <c r="DP8" i="4"/>
  <c r="DR8" i="4"/>
  <c r="M9" i="4"/>
  <c r="AX9" i="4"/>
  <c r="BT9" i="4" s="1"/>
  <c r="BG9" i="4"/>
  <c r="BH9" i="4"/>
  <c r="BJ9" i="4"/>
  <c r="BL9" i="4"/>
  <c r="BM9" i="4"/>
  <c r="BR9" i="4"/>
  <c r="BS9" i="4"/>
  <c r="BU9" i="4"/>
  <c r="BV9" i="4"/>
  <c r="BW9" i="4"/>
  <c r="BZ9" i="4"/>
  <c r="CP9" i="4"/>
  <c r="CB9" i="4" s="1"/>
  <c r="H9" i="4" s="1"/>
  <c r="I9" i="4" s="1"/>
  <c r="CY9" i="4"/>
  <c r="CZ9" i="4"/>
  <c r="DB9" i="4"/>
  <c r="DC9" i="4"/>
  <c r="DD9" i="4"/>
  <c r="DE9" i="4"/>
  <c r="DG9" i="4"/>
  <c r="DH9" i="4"/>
  <c r="DJ9" i="4"/>
  <c r="DK9" i="4"/>
  <c r="DM9" i="4"/>
  <c r="DN9" i="4"/>
  <c r="DO9" i="4"/>
  <c r="DP9" i="4"/>
  <c r="DR9" i="4"/>
  <c r="AG10" i="4"/>
  <c r="BD10" i="4"/>
  <c r="AJ10" i="4" s="1"/>
  <c r="BG10" i="4"/>
  <c r="BH10" i="4"/>
  <c r="BJ10" i="4"/>
  <c r="BL10" i="4"/>
  <c r="BM10" i="4"/>
  <c r="BO10" i="4"/>
  <c r="BO34" i="4" s="1"/>
  <c r="BP10" i="4"/>
  <c r="BQ10" i="4"/>
  <c r="BR10" i="4"/>
  <c r="BS10" i="4"/>
  <c r="BT10" i="4"/>
  <c r="BU10" i="4"/>
  <c r="BV10" i="4"/>
  <c r="BW10" i="4"/>
  <c r="CV10" i="4"/>
  <c r="CY10" i="4"/>
  <c r="CZ10" i="4"/>
  <c r="DB10" i="4"/>
  <c r="DC10" i="4"/>
  <c r="DD10" i="4"/>
  <c r="DE10" i="4"/>
  <c r="DG10" i="4"/>
  <c r="DH10" i="4"/>
  <c r="DJ10" i="4"/>
  <c r="DK10" i="4"/>
  <c r="DL10" i="4"/>
  <c r="DM10" i="4"/>
  <c r="DN10" i="4"/>
  <c r="DO10" i="4"/>
  <c r="DP10" i="4"/>
  <c r="M11" i="4"/>
  <c r="S11" i="4"/>
  <c r="AP11" i="4"/>
  <c r="BG11" i="4"/>
  <c r="BH11" i="4"/>
  <c r="BJ11" i="4"/>
  <c r="BM11" i="4"/>
  <c r="BR11" i="4"/>
  <c r="BS11" i="4"/>
  <c r="BT11" i="4"/>
  <c r="BU11" i="4"/>
  <c r="BV11" i="4"/>
  <c r="BW11" i="4"/>
  <c r="BZ11" i="4"/>
  <c r="CH11" i="4"/>
  <c r="DD11" i="4" s="1"/>
  <c r="CY11" i="4"/>
  <c r="CZ11" i="4"/>
  <c r="DB11" i="4"/>
  <c r="DC11" i="4"/>
  <c r="DE11" i="4"/>
  <c r="DG11" i="4"/>
  <c r="DH11" i="4"/>
  <c r="DJ11" i="4"/>
  <c r="DK11" i="4"/>
  <c r="DL11" i="4"/>
  <c r="DM11" i="4"/>
  <c r="DN11" i="4"/>
  <c r="DO11" i="4"/>
  <c r="DP11" i="4"/>
  <c r="DR11" i="4"/>
  <c r="M12" i="4"/>
  <c r="AP12" i="4"/>
  <c r="BG12" i="4"/>
  <c r="BH12" i="4"/>
  <c r="BJ12" i="4"/>
  <c r="BM12" i="4"/>
  <c r="BR12" i="4"/>
  <c r="BS12" i="4"/>
  <c r="BT12" i="4"/>
  <c r="BU12" i="4"/>
  <c r="BV12" i="4"/>
  <c r="BW12" i="4"/>
  <c r="BZ12" i="4"/>
  <c r="CH12" i="4"/>
  <c r="DD12" i="4" s="1"/>
  <c r="CY12" i="4"/>
  <c r="CZ12" i="4"/>
  <c r="DB12" i="4"/>
  <c r="DC12" i="4"/>
  <c r="DE12" i="4"/>
  <c r="DG12" i="4"/>
  <c r="DH12" i="4"/>
  <c r="DJ12" i="4"/>
  <c r="DK12" i="4"/>
  <c r="DL12" i="4"/>
  <c r="DM12" i="4"/>
  <c r="DN12" i="4"/>
  <c r="DO12" i="4"/>
  <c r="DP12" i="4"/>
  <c r="DR12" i="4"/>
  <c r="M13" i="4"/>
  <c r="AP13" i="4"/>
  <c r="AJ13" i="4" s="1"/>
  <c r="AI13" i="4" s="1"/>
  <c r="BE13" i="4" s="1"/>
  <c r="BG13" i="4"/>
  <c r="BH13" i="4"/>
  <c r="BJ13" i="4"/>
  <c r="BL13" i="4"/>
  <c r="BM13" i="4"/>
  <c r="BR13" i="4"/>
  <c r="BS13" i="4"/>
  <c r="BT13" i="4"/>
  <c r="BU13" i="4"/>
  <c r="BV13" i="4"/>
  <c r="BW13" i="4"/>
  <c r="BZ13" i="4"/>
  <c r="CH13" i="4"/>
  <c r="CY13" i="4"/>
  <c r="CZ13" i="4"/>
  <c r="DB13" i="4"/>
  <c r="DC13" i="4"/>
  <c r="DE13" i="4"/>
  <c r="DG13" i="4"/>
  <c r="DH13" i="4"/>
  <c r="DJ13" i="4"/>
  <c r="DK13" i="4"/>
  <c r="DL13" i="4"/>
  <c r="DM13" i="4"/>
  <c r="DN13" i="4"/>
  <c r="DO13" i="4"/>
  <c r="DP13" i="4"/>
  <c r="DR13" i="4"/>
  <c r="M14" i="4"/>
  <c r="AI14" i="4"/>
  <c r="BE14" i="4" s="1"/>
  <c r="AJ14" i="4"/>
  <c r="BG14" i="4"/>
  <c r="BH14" i="4"/>
  <c r="BJ14" i="4"/>
  <c r="BL14" i="4"/>
  <c r="BM14" i="4"/>
  <c r="BR14" i="4"/>
  <c r="BS14" i="4"/>
  <c r="BT14" i="4"/>
  <c r="BU14" i="4"/>
  <c r="BV14" i="4"/>
  <c r="BW14" i="4"/>
  <c r="BZ14" i="4"/>
  <c r="CA14" i="4"/>
  <c r="CW14" i="4" s="1"/>
  <c r="CB14" i="4"/>
  <c r="H14" i="4" s="1"/>
  <c r="CY14" i="4"/>
  <c r="CZ14" i="4"/>
  <c r="DB14" i="4"/>
  <c r="DC14" i="4"/>
  <c r="CX14" i="4" s="1"/>
  <c r="DD14" i="4"/>
  <c r="DE14" i="4"/>
  <c r="DG14" i="4"/>
  <c r="DH14" i="4"/>
  <c r="DJ14" i="4"/>
  <c r="DK14" i="4"/>
  <c r="DL14" i="4"/>
  <c r="DM14" i="4"/>
  <c r="DN14" i="4"/>
  <c r="DO14" i="4"/>
  <c r="DP14" i="4"/>
  <c r="DR14" i="4"/>
  <c r="M15" i="4"/>
  <c r="AJ15" i="4"/>
  <c r="AI15" i="4" s="1"/>
  <c r="BE15" i="4" s="1"/>
  <c r="BG15" i="4"/>
  <c r="BH15" i="4"/>
  <c r="BJ15" i="4"/>
  <c r="BL15" i="4"/>
  <c r="BM15" i="4"/>
  <c r="BR15" i="4"/>
  <c r="BS15" i="4"/>
  <c r="BT15" i="4"/>
  <c r="BU15" i="4"/>
  <c r="BV15" i="4"/>
  <c r="BW15" i="4"/>
  <c r="BZ15" i="4"/>
  <c r="CB15" i="4"/>
  <c r="CY15" i="4"/>
  <c r="CZ15" i="4"/>
  <c r="DB15" i="4"/>
  <c r="DC15" i="4"/>
  <c r="DD15" i="4"/>
  <c r="DE15" i="4"/>
  <c r="DG15" i="4"/>
  <c r="DH15" i="4"/>
  <c r="CX15" i="4" s="1"/>
  <c r="DJ15" i="4"/>
  <c r="DK15" i="4"/>
  <c r="DL15" i="4"/>
  <c r="DM15" i="4"/>
  <c r="DN15" i="4"/>
  <c r="DO15" i="4"/>
  <c r="DP15" i="4"/>
  <c r="DR15" i="4"/>
  <c r="AB16" i="4"/>
  <c r="M16" i="4" s="1"/>
  <c r="AJ16" i="4"/>
  <c r="BG16" i="4"/>
  <c r="BH16" i="4"/>
  <c r="BJ16" i="4"/>
  <c r="BL16" i="4"/>
  <c r="BM16" i="4"/>
  <c r="BR16" i="4"/>
  <c r="BS16" i="4"/>
  <c r="BT16" i="4"/>
  <c r="BU16" i="4"/>
  <c r="BV16" i="4"/>
  <c r="BW16" i="4"/>
  <c r="BZ16" i="4"/>
  <c r="CB16" i="4"/>
  <c r="CY16" i="4"/>
  <c r="CZ16" i="4"/>
  <c r="DB16" i="4"/>
  <c r="DC16" i="4"/>
  <c r="DD16" i="4"/>
  <c r="DE16" i="4"/>
  <c r="DG16" i="4"/>
  <c r="DH16" i="4"/>
  <c r="DJ16" i="4"/>
  <c r="DK16" i="4"/>
  <c r="DL16" i="4"/>
  <c r="DM16" i="4"/>
  <c r="DN16" i="4"/>
  <c r="DO16" i="4"/>
  <c r="DP16" i="4"/>
  <c r="DR16" i="4"/>
  <c r="AG17" i="4"/>
  <c r="M17" i="4" s="1"/>
  <c r="AP17" i="4"/>
  <c r="BL17" i="4" s="1"/>
  <c r="BD17" i="4"/>
  <c r="BG17" i="4"/>
  <c r="BH17" i="4"/>
  <c r="BJ17" i="4"/>
  <c r="BM17" i="4"/>
  <c r="BR17" i="4"/>
  <c r="BS17" i="4"/>
  <c r="BT17" i="4"/>
  <c r="BU17" i="4"/>
  <c r="BV17" i="4"/>
  <c r="BW17" i="4"/>
  <c r="CV17" i="4"/>
  <c r="DR17" i="4" s="1"/>
  <c r="CY17" i="4"/>
  <c r="CZ17" i="4"/>
  <c r="DB17" i="4"/>
  <c r="DC17" i="4"/>
  <c r="DE17" i="4"/>
  <c r="DG17" i="4"/>
  <c r="DH17" i="4"/>
  <c r="DJ17" i="4"/>
  <c r="DK17" i="4"/>
  <c r="DL17" i="4"/>
  <c r="DM17" i="4"/>
  <c r="DN17" i="4"/>
  <c r="DO17" i="4"/>
  <c r="DP17" i="4"/>
  <c r="T18" i="4"/>
  <c r="AP18" i="4"/>
  <c r="AQ18" i="4"/>
  <c r="AQ34" i="4" s="1"/>
  <c r="BG18" i="4"/>
  <c r="BH18" i="4"/>
  <c r="BJ18" i="4"/>
  <c r="BO18" i="4"/>
  <c r="BP18" i="4"/>
  <c r="BP34" i="4" s="1"/>
  <c r="BQ18" i="4"/>
  <c r="BR18" i="4"/>
  <c r="BS18" i="4"/>
  <c r="BT18" i="4"/>
  <c r="BU18" i="4"/>
  <c r="BV18" i="4"/>
  <c r="BW18" i="4"/>
  <c r="BZ18" i="4"/>
  <c r="CH18" i="4"/>
  <c r="CI18" i="4" s="1"/>
  <c r="CI34" i="4" s="1"/>
  <c r="CY18" i="4"/>
  <c r="CZ18" i="4"/>
  <c r="DB18" i="4"/>
  <c r="DC18" i="4"/>
  <c r="DG18" i="4"/>
  <c r="DH18" i="4"/>
  <c r="DJ18" i="4"/>
  <c r="DK18" i="4"/>
  <c r="DL18" i="4"/>
  <c r="DM18" i="4"/>
  <c r="DN18" i="4"/>
  <c r="DO18" i="4"/>
  <c r="DP18" i="4"/>
  <c r="DR18" i="4"/>
  <c r="O19" i="4"/>
  <c r="T19" i="4"/>
  <c r="AJ19" i="4"/>
  <c r="AQ19" i="4"/>
  <c r="BG19" i="4"/>
  <c r="BH19" i="4"/>
  <c r="BJ19" i="4"/>
  <c r="BL19" i="4"/>
  <c r="BR19" i="4"/>
  <c r="BS19" i="4"/>
  <c r="BT19" i="4"/>
  <c r="BU19" i="4"/>
  <c r="BV19" i="4"/>
  <c r="BW19" i="4"/>
  <c r="BZ19" i="4"/>
  <c r="CI19" i="4"/>
  <c r="CB19" i="4" s="1"/>
  <c r="CY19" i="4"/>
  <c r="CZ19" i="4"/>
  <c r="DB19" i="4"/>
  <c r="DC19" i="4"/>
  <c r="DD19" i="4"/>
  <c r="DG19" i="4"/>
  <c r="DH19" i="4"/>
  <c r="DJ19" i="4"/>
  <c r="DK19" i="4"/>
  <c r="DL19" i="4"/>
  <c r="DM19" i="4"/>
  <c r="DN19" i="4"/>
  <c r="DO19" i="4"/>
  <c r="DP19" i="4"/>
  <c r="DR19" i="4"/>
  <c r="M20" i="4"/>
  <c r="T20" i="4"/>
  <c r="BM20" i="4" s="1"/>
  <c r="AJ20" i="4"/>
  <c r="BG20" i="4"/>
  <c r="BH20" i="4"/>
  <c r="BJ20" i="4"/>
  <c r="BL20" i="4"/>
  <c r="BR20" i="4"/>
  <c r="BS20" i="4"/>
  <c r="BT20" i="4"/>
  <c r="BU20" i="4"/>
  <c r="BV20" i="4"/>
  <c r="BW20" i="4"/>
  <c r="BZ20" i="4"/>
  <c r="CB20" i="4"/>
  <c r="CY20" i="4"/>
  <c r="CZ20" i="4"/>
  <c r="CX20" i="4" s="1"/>
  <c r="DB20" i="4"/>
  <c r="DC20" i="4"/>
  <c r="DD20" i="4"/>
  <c r="DE20" i="4"/>
  <c r="DG20" i="4"/>
  <c r="DH20" i="4"/>
  <c r="DJ20" i="4"/>
  <c r="DK20" i="4"/>
  <c r="DL20" i="4"/>
  <c r="DM20" i="4"/>
  <c r="DN20" i="4"/>
  <c r="DO20" i="4"/>
  <c r="DP20" i="4"/>
  <c r="DR20" i="4"/>
  <c r="M21" i="4"/>
  <c r="O21" i="4"/>
  <c r="T21" i="4"/>
  <c r="AJ21" i="4"/>
  <c r="BG21" i="4"/>
  <c r="BH21" i="4"/>
  <c r="BJ21" i="4"/>
  <c r="BL21" i="4"/>
  <c r="BM21" i="4"/>
  <c r="BR21" i="4"/>
  <c r="BS21" i="4"/>
  <c r="BT21" i="4"/>
  <c r="BF21" i="4" s="1"/>
  <c r="BU21" i="4"/>
  <c r="BV21" i="4"/>
  <c r="BW21" i="4"/>
  <c r="BZ21" i="4"/>
  <c r="CB21" i="4"/>
  <c r="CA21" i="4" s="1"/>
  <c r="CW21" i="4" s="1"/>
  <c r="CY21" i="4"/>
  <c r="CZ21" i="4"/>
  <c r="DB21" i="4"/>
  <c r="DC21" i="4"/>
  <c r="DD21" i="4"/>
  <c r="DE21" i="4"/>
  <c r="DG21" i="4"/>
  <c r="DH21" i="4"/>
  <c r="DJ21" i="4"/>
  <c r="DK21" i="4"/>
  <c r="DL21" i="4"/>
  <c r="DM21" i="4"/>
  <c r="DN21" i="4"/>
  <c r="DO21" i="4"/>
  <c r="DP21" i="4"/>
  <c r="DR21" i="4"/>
  <c r="M22" i="4"/>
  <c r="AG22" i="4"/>
  <c r="AZ22" i="4"/>
  <c r="BV22" i="4" s="1"/>
  <c r="BD22" i="4"/>
  <c r="BG22" i="4"/>
  <c r="BH22" i="4"/>
  <c r="BJ22" i="4"/>
  <c r="BL22" i="4"/>
  <c r="BM22" i="4"/>
  <c r="BR22" i="4"/>
  <c r="BS22" i="4"/>
  <c r="BT22" i="4"/>
  <c r="BU22" i="4"/>
  <c r="BW22" i="4"/>
  <c r="CV22" i="4"/>
  <c r="CB22" i="4" s="1"/>
  <c r="CY22" i="4"/>
  <c r="CZ22" i="4"/>
  <c r="DB22" i="4"/>
  <c r="DC22" i="4"/>
  <c r="DD22" i="4"/>
  <c r="DE22" i="4"/>
  <c r="DG22" i="4"/>
  <c r="DH22" i="4"/>
  <c r="DJ22" i="4"/>
  <c r="DK22" i="4"/>
  <c r="DL22" i="4"/>
  <c r="DM22" i="4"/>
  <c r="DN22" i="4"/>
  <c r="DO22" i="4"/>
  <c r="DP22" i="4"/>
  <c r="M23" i="4"/>
  <c r="AZ23" i="4"/>
  <c r="AJ23" i="4" s="1"/>
  <c r="AI23" i="4" s="1"/>
  <c r="BG23" i="4"/>
  <c r="BH23" i="4"/>
  <c r="BJ23" i="4"/>
  <c r="BL23" i="4"/>
  <c r="BM23" i="4"/>
  <c r="BR23" i="4"/>
  <c r="BS23" i="4"/>
  <c r="BT23" i="4"/>
  <c r="BU23" i="4"/>
  <c r="BW23" i="4"/>
  <c r="BZ23" i="4"/>
  <c r="CR23" i="4"/>
  <c r="DN23" i="4" s="1"/>
  <c r="CY23" i="4"/>
  <c r="CZ23" i="4"/>
  <c r="DB23" i="4"/>
  <c r="DC23" i="4"/>
  <c r="DD23" i="4"/>
  <c r="DE23" i="4"/>
  <c r="DG23" i="4"/>
  <c r="DH23" i="4"/>
  <c r="DJ23" i="4"/>
  <c r="DK23" i="4"/>
  <c r="DL23" i="4"/>
  <c r="DM23" i="4"/>
  <c r="DO23" i="4"/>
  <c r="DP23" i="4"/>
  <c r="DR23" i="4"/>
  <c r="M24" i="4"/>
  <c r="AP24" i="4"/>
  <c r="AJ24" i="4" s="1"/>
  <c r="AI24" i="4" s="1"/>
  <c r="BE24" i="4" s="1"/>
  <c r="BG24" i="4"/>
  <c r="BH24" i="4"/>
  <c r="BJ24" i="4"/>
  <c r="BM24" i="4"/>
  <c r="BO24" i="4"/>
  <c r="BP24" i="4"/>
  <c r="BQ24" i="4"/>
  <c r="BR24" i="4"/>
  <c r="BS24" i="4"/>
  <c r="BT24" i="4"/>
  <c r="BU24" i="4"/>
  <c r="BV24" i="4"/>
  <c r="BW24" i="4"/>
  <c r="BX24" i="4"/>
  <c r="BY24" i="4"/>
  <c r="BY34" i="4" s="1"/>
  <c r="BZ24" i="4"/>
  <c r="CH24" i="4"/>
  <c r="CY24" i="4"/>
  <c r="CZ24" i="4"/>
  <c r="DB24" i="4"/>
  <c r="DC24" i="4"/>
  <c r="DE24" i="4"/>
  <c r="DG24" i="4"/>
  <c r="DH24" i="4"/>
  <c r="DJ24" i="4"/>
  <c r="DK24" i="4"/>
  <c r="DL24" i="4"/>
  <c r="DM24" i="4"/>
  <c r="DN24" i="4"/>
  <c r="DO24" i="4"/>
  <c r="DP24" i="4"/>
  <c r="DR24" i="4"/>
  <c r="M25" i="4"/>
  <c r="AP25" i="4"/>
  <c r="AY25" i="4"/>
  <c r="BU25" i="4" s="1"/>
  <c r="BG25" i="4"/>
  <c r="BH25" i="4"/>
  <c r="BJ25" i="4"/>
  <c r="BM25" i="4"/>
  <c r="BR25" i="4"/>
  <c r="BS25" i="4"/>
  <c r="BT25" i="4"/>
  <c r="BV25" i="4"/>
  <c r="BW25" i="4"/>
  <c r="BZ25" i="4"/>
  <c r="CH25" i="4"/>
  <c r="DD25" i="4" s="1"/>
  <c r="CQ25" i="4"/>
  <c r="DM25" i="4" s="1"/>
  <c r="CY25" i="4"/>
  <c r="CZ25" i="4"/>
  <c r="DB25" i="4"/>
  <c r="DC25" i="4"/>
  <c r="DE25" i="4"/>
  <c r="DG25" i="4"/>
  <c r="DH25" i="4"/>
  <c r="DJ25" i="4"/>
  <c r="DK25" i="4"/>
  <c r="DL25" i="4"/>
  <c r="DN25" i="4"/>
  <c r="DO25" i="4"/>
  <c r="DP25" i="4"/>
  <c r="DR25" i="4"/>
  <c r="M26" i="4"/>
  <c r="AJ26" i="4"/>
  <c r="BG26" i="4"/>
  <c r="BH26" i="4"/>
  <c r="BJ26" i="4"/>
  <c r="BL26" i="4"/>
  <c r="BM26" i="4"/>
  <c r="BR26" i="4"/>
  <c r="BS26" i="4"/>
  <c r="BT26" i="4"/>
  <c r="BU26" i="4"/>
  <c r="BV26" i="4"/>
  <c r="BW26" i="4"/>
  <c r="BZ26" i="4"/>
  <c r="CB26" i="4"/>
  <c r="H26" i="4" s="1"/>
  <c r="CY26" i="4"/>
  <c r="CZ26" i="4"/>
  <c r="DB26" i="4"/>
  <c r="DC26" i="4"/>
  <c r="DD26" i="4"/>
  <c r="DE26" i="4"/>
  <c r="DG26" i="4"/>
  <c r="DH26" i="4"/>
  <c r="DJ26" i="4"/>
  <c r="DK26" i="4"/>
  <c r="DL26" i="4"/>
  <c r="DM26" i="4"/>
  <c r="DN26" i="4"/>
  <c r="DO26" i="4"/>
  <c r="DP26" i="4"/>
  <c r="DR26" i="4"/>
  <c r="M27" i="4"/>
  <c r="AJ27" i="4"/>
  <c r="AI27" i="4" s="1"/>
  <c r="BE27" i="4" s="1"/>
  <c r="BG27" i="4"/>
  <c r="BH27" i="4"/>
  <c r="BJ27" i="4"/>
  <c r="BL27" i="4"/>
  <c r="BM27" i="4"/>
  <c r="BR27" i="4"/>
  <c r="BS27" i="4"/>
  <c r="BT27" i="4"/>
  <c r="BF27" i="4" s="1"/>
  <c r="BU27" i="4"/>
  <c r="BV27" i="4"/>
  <c r="BW27" i="4"/>
  <c r="BZ27" i="4"/>
  <c r="CB27" i="4"/>
  <c r="H27" i="4" s="1"/>
  <c r="CY27" i="4"/>
  <c r="CZ27" i="4"/>
  <c r="DB27" i="4"/>
  <c r="DC27" i="4"/>
  <c r="DD27" i="4"/>
  <c r="DE27" i="4"/>
  <c r="DG27" i="4"/>
  <c r="DH27" i="4"/>
  <c r="DJ27" i="4"/>
  <c r="DK27" i="4"/>
  <c r="DL27" i="4"/>
  <c r="DM27" i="4"/>
  <c r="DN27" i="4"/>
  <c r="DO27" i="4"/>
  <c r="DP27" i="4"/>
  <c r="DR27" i="4"/>
  <c r="M28" i="4"/>
  <c r="AJ28" i="4"/>
  <c r="AI28" i="4" s="1"/>
  <c r="BE28" i="4" s="1"/>
  <c r="BG28" i="4"/>
  <c r="BH28" i="4"/>
  <c r="BJ28" i="4"/>
  <c r="BL28" i="4"/>
  <c r="BM28" i="4"/>
  <c r="BR28" i="4"/>
  <c r="BS28" i="4"/>
  <c r="BT28" i="4"/>
  <c r="BU28" i="4"/>
  <c r="BV28" i="4"/>
  <c r="BW28" i="4"/>
  <c r="BZ28" i="4"/>
  <c r="CB28" i="4"/>
  <c r="CA28" i="4" s="1"/>
  <c r="CW28" i="4" s="1"/>
  <c r="CY28" i="4"/>
  <c r="CZ28" i="4"/>
  <c r="DB28" i="4"/>
  <c r="DC28" i="4"/>
  <c r="DD28" i="4"/>
  <c r="DE28" i="4"/>
  <c r="DG28" i="4"/>
  <c r="DH28" i="4"/>
  <c r="DJ28" i="4"/>
  <c r="DK28" i="4"/>
  <c r="DL28" i="4"/>
  <c r="DM28" i="4"/>
  <c r="DN28" i="4"/>
  <c r="DO28" i="4"/>
  <c r="DP28" i="4"/>
  <c r="DR28" i="4"/>
  <c r="H29" i="4"/>
  <c r="I29" i="4" s="1"/>
  <c r="M29" i="4"/>
  <c r="AJ29" i="4"/>
  <c r="AI29" i="4" s="1"/>
  <c r="BE29" i="4"/>
  <c r="BG29" i="4"/>
  <c r="BH29" i="4"/>
  <c r="BJ29" i="4"/>
  <c r="BF29" i="4" s="1"/>
  <c r="BL29" i="4"/>
  <c r="BM29" i="4"/>
  <c r="BR29" i="4"/>
  <c r="BS29" i="4"/>
  <c r="BT29" i="4"/>
  <c r="BU29" i="4"/>
  <c r="BV29" i="4"/>
  <c r="BW29" i="4"/>
  <c r="BZ29" i="4"/>
  <c r="CB29" i="4"/>
  <c r="CA29" i="4" s="1"/>
  <c r="CW29" i="4" s="1"/>
  <c r="CY29" i="4"/>
  <c r="CZ29" i="4"/>
  <c r="DB29" i="4"/>
  <c r="DC29" i="4"/>
  <c r="DD29" i="4"/>
  <c r="DE29" i="4"/>
  <c r="DG29" i="4"/>
  <c r="DH29" i="4"/>
  <c r="DJ29" i="4"/>
  <c r="DK29" i="4"/>
  <c r="DL29" i="4"/>
  <c r="DM29" i="4"/>
  <c r="DN29" i="4"/>
  <c r="DO29" i="4"/>
  <c r="DP29" i="4"/>
  <c r="DR29" i="4"/>
  <c r="M30" i="4"/>
  <c r="AX30" i="4"/>
  <c r="AJ30" i="4" s="1"/>
  <c r="BG30" i="4"/>
  <c r="BH30" i="4"/>
  <c r="BJ30" i="4"/>
  <c r="BL30" i="4"/>
  <c r="BM30" i="4"/>
  <c r="BR30" i="4"/>
  <c r="BS30" i="4"/>
  <c r="BT30" i="4"/>
  <c r="BF30" i="4" s="1"/>
  <c r="BU30" i="4"/>
  <c r="BV30" i="4"/>
  <c r="BW30" i="4"/>
  <c r="BZ30" i="4"/>
  <c r="CP30" i="4"/>
  <c r="CY30" i="4"/>
  <c r="CZ30" i="4"/>
  <c r="DB30" i="4"/>
  <c r="DC30" i="4"/>
  <c r="DD30" i="4"/>
  <c r="DE30" i="4"/>
  <c r="DG30" i="4"/>
  <c r="DH30" i="4"/>
  <c r="DJ30" i="4"/>
  <c r="DK30" i="4"/>
  <c r="DM30" i="4"/>
  <c r="DN30" i="4"/>
  <c r="DO30" i="4"/>
  <c r="DP30" i="4"/>
  <c r="DR30" i="4"/>
  <c r="M31" i="4"/>
  <c r="AX31" i="4"/>
  <c r="BG31" i="4"/>
  <c r="BH31" i="4"/>
  <c r="BJ31" i="4"/>
  <c r="BL31" i="4"/>
  <c r="BM31" i="4"/>
  <c r="BR31" i="4"/>
  <c r="BS31" i="4"/>
  <c r="BU31" i="4"/>
  <c r="BV31" i="4"/>
  <c r="BW31" i="4"/>
  <c r="BZ31" i="4"/>
  <c r="CP31" i="4"/>
  <c r="CY31" i="4"/>
  <c r="CZ31" i="4"/>
  <c r="DB31" i="4"/>
  <c r="DC31" i="4"/>
  <c r="DD31" i="4"/>
  <c r="DE31" i="4"/>
  <c r="DG31" i="4"/>
  <c r="DH31" i="4"/>
  <c r="DJ31" i="4"/>
  <c r="DK31" i="4"/>
  <c r="DM31" i="4"/>
  <c r="DN31" i="4"/>
  <c r="DO31" i="4"/>
  <c r="DP31" i="4"/>
  <c r="DR31" i="4"/>
  <c r="M32" i="4"/>
  <c r="AX32" i="4"/>
  <c r="AY32" i="4"/>
  <c r="BG32" i="4"/>
  <c r="BH32" i="4"/>
  <c r="BJ32" i="4"/>
  <c r="BL32" i="4"/>
  <c r="BM32" i="4"/>
  <c r="BR32" i="4"/>
  <c r="BS32" i="4"/>
  <c r="BU32" i="4"/>
  <c r="BV32" i="4"/>
  <c r="BW32" i="4"/>
  <c r="BZ32" i="4"/>
  <c r="CP32" i="4"/>
  <c r="DL32" i="4" s="1"/>
  <c r="CQ32" i="4"/>
  <c r="DM32" i="4" s="1"/>
  <c r="CY32" i="4"/>
  <c r="CZ32" i="4"/>
  <c r="DB32" i="4"/>
  <c r="DC32" i="4"/>
  <c r="DD32" i="4"/>
  <c r="DE32" i="4"/>
  <c r="DG32" i="4"/>
  <c r="DH32" i="4"/>
  <c r="DJ32" i="4"/>
  <c r="DK32" i="4"/>
  <c r="DN32" i="4"/>
  <c r="DO32" i="4"/>
  <c r="DP32" i="4"/>
  <c r="DR32" i="4"/>
  <c r="M33" i="4"/>
  <c r="AX33" i="4"/>
  <c r="BD33" i="4"/>
  <c r="BG33" i="4"/>
  <c r="BH33" i="4"/>
  <c r="BJ33" i="4"/>
  <c r="BL33" i="4"/>
  <c r="BM33" i="4"/>
  <c r="BR33" i="4"/>
  <c r="BS33" i="4"/>
  <c r="BU33" i="4"/>
  <c r="BV33" i="4"/>
  <c r="BW33" i="4"/>
  <c r="CP33" i="4"/>
  <c r="CY33" i="4"/>
  <c r="CZ33" i="4"/>
  <c r="DB33" i="4"/>
  <c r="DD33" i="4"/>
  <c r="DE33" i="4"/>
  <c r="DG33" i="4"/>
  <c r="DH33" i="4"/>
  <c r="DJ33" i="4"/>
  <c r="DK33" i="4"/>
  <c r="DM33" i="4"/>
  <c r="DN33" i="4"/>
  <c r="DO33" i="4"/>
  <c r="DP33" i="4"/>
  <c r="DR33" i="4"/>
  <c r="G34" i="4"/>
  <c r="N34" i="4"/>
  <c r="O34" i="4"/>
  <c r="P34" i="4"/>
  <c r="Q34" i="4"/>
  <c r="R34" i="4"/>
  <c r="S34" i="4"/>
  <c r="U34" i="4"/>
  <c r="V34" i="4"/>
  <c r="W34" i="4"/>
  <c r="X34" i="4"/>
  <c r="Y34" i="4"/>
  <c r="Z34" i="4"/>
  <c r="AA34" i="4"/>
  <c r="AB34" i="4"/>
  <c r="AC34" i="4"/>
  <c r="AD34" i="4"/>
  <c r="AE34" i="4"/>
  <c r="AF34" i="4"/>
  <c r="AK34" i="4"/>
  <c r="AL34" i="4"/>
  <c r="AN34" i="4"/>
  <c r="AO34" i="4"/>
  <c r="AR34" i="4"/>
  <c r="AS34" i="4"/>
  <c r="AT34" i="4"/>
  <c r="AU34" i="4"/>
  <c r="AV34" i="4"/>
  <c r="AW34" i="4"/>
  <c r="BA34" i="4"/>
  <c r="BB34" i="4"/>
  <c r="BC34" i="4"/>
  <c r="BI34" i="4"/>
  <c r="BK34" i="4"/>
  <c r="BN34" i="4"/>
  <c r="BS34" i="4"/>
  <c r="BX34" i="4"/>
  <c r="CC34" i="4"/>
  <c r="CD34" i="4"/>
  <c r="CF34" i="4"/>
  <c r="CG34" i="4"/>
  <c r="CJ34" i="4"/>
  <c r="CK34" i="4"/>
  <c r="CL34" i="4"/>
  <c r="CM34" i="4"/>
  <c r="CN34" i="4"/>
  <c r="CO34" i="4"/>
  <c r="CS34" i="4"/>
  <c r="CT34" i="4"/>
  <c r="CU34" i="4"/>
  <c r="DF34" i="4"/>
  <c r="DG34" i="4"/>
  <c r="DI34" i="4"/>
  <c r="DQ34" i="4"/>
  <c r="O35" i="4"/>
  <c r="Q35" i="4"/>
  <c r="S35" i="4"/>
  <c r="T35" i="4"/>
  <c r="BM35" i="4" s="1"/>
  <c r="AN35" i="4"/>
  <c r="AP35" i="4"/>
  <c r="BG35" i="4"/>
  <c r="BI35" i="4"/>
  <c r="BP35" i="4"/>
  <c r="BR35" i="4"/>
  <c r="BS35" i="4"/>
  <c r="BT35" i="4"/>
  <c r="BU35" i="4"/>
  <c r="BV35" i="4"/>
  <c r="BW35" i="4"/>
  <c r="BZ35" i="4"/>
  <c r="CE35" i="4"/>
  <c r="DA35" i="4" s="1"/>
  <c r="DA67" i="4" s="1"/>
  <c r="DA189" i="4" s="1"/>
  <c r="CF35" i="4"/>
  <c r="CH35" i="4"/>
  <c r="DE35" i="4"/>
  <c r="DG35" i="4"/>
  <c r="DH35" i="4"/>
  <c r="DJ35" i="4"/>
  <c r="DK35" i="4"/>
  <c r="DL35" i="4"/>
  <c r="DM35" i="4"/>
  <c r="DN35" i="4"/>
  <c r="DO35" i="4"/>
  <c r="DP35" i="4"/>
  <c r="DR35" i="4"/>
  <c r="M36" i="4"/>
  <c r="O36" i="4"/>
  <c r="BH36" i="4" s="1"/>
  <c r="AJ36" i="4"/>
  <c r="AI36" i="4" s="1"/>
  <c r="BE36" i="4"/>
  <c r="BG36" i="4"/>
  <c r="BI36" i="4"/>
  <c r="BJ36" i="4"/>
  <c r="BL36" i="4"/>
  <c r="BM36" i="4"/>
  <c r="BP36" i="4"/>
  <c r="BR36" i="4"/>
  <c r="BS36" i="4"/>
  <c r="BT36" i="4"/>
  <c r="BU36" i="4"/>
  <c r="BV36" i="4"/>
  <c r="BW36" i="4"/>
  <c r="BZ36" i="4"/>
  <c r="CD36" i="4"/>
  <c r="CB36" i="4" s="1"/>
  <c r="H36" i="4" s="1"/>
  <c r="DA36" i="4"/>
  <c r="DB36" i="4"/>
  <c r="DD36" i="4"/>
  <c r="DE36" i="4"/>
  <c r="DG36" i="4"/>
  <c r="DH36" i="4"/>
  <c r="DJ36" i="4"/>
  <c r="DK36" i="4"/>
  <c r="DL36" i="4"/>
  <c r="DM36" i="4"/>
  <c r="DN36" i="4"/>
  <c r="DO36" i="4"/>
  <c r="DP36" i="4"/>
  <c r="DR36" i="4"/>
  <c r="O37" i="4"/>
  <c r="M37" i="4" s="1"/>
  <c r="AL37" i="4"/>
  <c r="AP37" i="4"/>
  <c r="BL37" i="4" s="1"/>
  <c r="AZ37" i="4"/>
  <c r="BG37" i="4"/>
  <c r="BI37" i="4"/>
  <c r="BJ37" i="4"/>
  <c r="BM37" i="4"/>
  <c r="BP37" i="4"/>
  <c r="BR37" i="4"/>
  <c r="BS37" i="4"/>
  <c r="BT37" i="4"/>
  <c r="BU37" i="4"/>
  <c r="BW37" i="4"/>
  <c r="BZ37" i="4"/>
  <c r="CD37" i="4"/>
  <c r="CH37" i="4"/>
  <c r="DD37" i="4" s="1"/>
  <c r="CR37" i="4"/>
  <c r="DA37" i="4"/>
  <c r="DB37" i="4"/>
  <c r="DE37" i="4"/>
  <c r="DG37" i="4"/>
  <c r="DH37" i="4"/>
  <c r="DJ37" i="4"/>
  <c r="DK37" i="4"/>
  <c r="DL37" i="4"/>
  <c r="DM37" i="4"/>
  <c r="DO37" i="4"/>
  <c r="DP37" i="4"/>
  <c r="DR37" i="4"/>
  <c r="M38" i="4"/>
  <c r="AP38" i="4"/>
  <c r="BG38" i="4"/>
  <c r="BI38" i="4"/>
  <c r="BJ38" i="4"/>
  <c r="BM38" i="4"/>
  <c r="BO38" i="4"/>
  <c r="BP38" i="4"/>
  <c r="BQ38" i="4"/>
  <c r="BR38" i="4"/>
  <c r="BS38" i="4"/>
  <c r="BT38" i="4"/>
  <c r="BU38" i="4"/>
  <c r="BV38" i="4"/>
  <c r="BW38" i="4"/>
  <c r="BZ38" i="4"/>
  <c r="CB38" i="4"/>
  <c r="CA38" i="4" s="1"/>
  <c r="CW38" i="4"/>
  <c r="DD38" i="4"/>
  <c r="DE38" i="4"/>
  <c r="DG38" i="4"/>
  <c r="DH38" i="4"/>
  <c r="DJ38" i="4"/>
  <c r="DK38" i="4"/>
  <c r="DL38" i="4"/>
  <c r="DM38" i="4"/>
  <c r="CX38" i="4" s="1"/>
  <c r="DN38" i="4"/>
  <c r="DO38" i="4"/>
  <c r="DP38" i="4"/>
  <c r="DR38" i="4"/>
  <c r="AB39" i="4"/>
  <c r="AP39" i="4"/>
  <c r="BL39" i="4" s="1"/>
  <c r="AY39" i="4"/>
  <c r="BB39" i="4"/>
  <c r="BB67" i="4" s="1"/>
  <c r="BG39" i="4"/>
  <c r="BI39" i="4"/>
  <c r="BJ39" i="4"/>
  <c r="BM39" i="4"/>
  <c r="BO39" i="4"/>
  <c r="BP39" i="4"/>
  <c r="BQ39" i="4"/>
  <c r="BR39" i="4"/>
  <c r="BS39" i="4"/>
  <c r="BT39" i="4"/>
  <c r="BV39" i="4"/>
  <c r="BW39" i="4"/>
  <c r="BZ39" i="4"/>
  <c r="CH39" i="4"/>
  <c r="DD39" i="4" s="1"/>
  <c r="CQ39" i="4"/>
  <c r="CT39" i="4"/>
  <c r="DE39" i="4"/>
  <c r="DG39" i="4"/>
  <c r="DH39" i="4"/>
  <c r="DJ39" i="4"/>
  <c r="DK39" i="4"/>
  <c r="DL39" i="4"/>
  <c r="DN39" i="4"/>
  <c r="DO39" i="4"/>
  <c r="DR39" i="4"/>
  <c r="M40" i="4"/>
  <c r="AP40" i="4"/>
  <c r="BG40" i="4"/>
  <c r="BI40" i="4"/>
  <c r="BJ40" i="4"/>
  <c r="BM40" i="4"/>
  <c r="BO40" i="4"/>
  <c r="BP40" i="4"/>
  <c r="BQ40" i="4"/>
  <c r="BR40" i="4"/>
  <c r="BS40" i="4"/>
  <c r="BT40" i="4"/>
  <c r="BU40" i="4"/>
  <c r="BV40" i="4"/>
  <c r="BW40" i="4"/>
  <c r="BZ40" i="4"/>
  <c r="CH40" i="4"/>
  <c r="DE40" i="4"/>
  <c r="DG40" i="4"/>
  <c r="DH40" i="4"/>
  <c r="DJ40" i="4"/>
  <c r="DK40" i="4"/>
  <c r="DL40" i="4"/>
  <c r="DM40" i="4"/>
  <c r="DN40" i="4"/>
  <c r="DO40" i="4"/>
  <c r="DP40" i="4"/>
  <c r="DR40" i="4"/>
  <c r="M41" i="4"/>
  <c r="S41" i="4"/>
  <c r="AP41" i="4"/>
  <c r="BG41" i="4"/>
  <c r="BI41" i="4"/>
  <c r="BJ41" i="4"/>
  <c r="BM41" i="4"/>
  <c r="BO41" i="4"/>
  <c r="BP41" i="4"/>
  <c r="BQ41" i="4"/>
  <c r="BR41" i="4"/>
  <c r="BS41" i="4"/>
  <c r="BT41" i="4"/>
  <c r="BU41" i="4"/>
  <c r="BV41" i="4"/>
  <c r="BW41" i="4"/>
  <c r="BZ41" i="4"/>
  <c r="CH41" i="4"/>
  <c r="CB41" i="4" s="1"/>
  <c r="CA41" i="4" s="1"/>
  <c r="CW41" i="4" s="1"/>
  <c r="DE41" i="4"/>
  <c r="DG41" i="4"/>
  <c r="DH41" i="4"/>
  <c r="DJ41" i="4"/>
  <c r="DK41" i="4"/>
  <c r="DL41" i="4"/>
  <c r="DM41" i="4"/>
  <c r="DN41" i="4"/>
  <c r="DO41" i="4"/>
  <c r="DP41" i="4"/>
  <c r="DR41" i="4"/>
  <c r="M42" i="4"/>
  <c r="AP42" i="4"/>
  <c r="BG42" i="4"/>
  <c r="BI42" i="4"/>
  <c r="BJ42" i="4"/>
  <c r="BM42" i="4"/>
  <c r="BO42" i="4"/>
  <c r="BO67" i="4" s="1"/>
  <c r="BP42" i="4"/>
  <c r="BQ42" i="4"/>
  <c r="BR42" i="4"/>
  <c r="BS42" i="4"/>
  <c r="BT42" i="4"/>
  <c r="BU42" i="4"/>
  <c r="BV42" i="4"/>
  <c r="BW42" i="4"/>
  <c r="BZ42" i="4"/>
  <c r="CH42" i="4"/>
  <c r="DD42" i="4" s="1"/>
  <c r="DE42" i="4"/>
  <c r="DG42" i="4"/>
  <c r="DH42" i="4"/>
  <c r="DJ42" i="4"/>
  <c r="DK42" i="4"/>
  <c r="DL42" i="4"/>
  <c r="DM42" i="4"/>
  <c r="DN42" i="4"/>
  <c r="DO42" i="4"/>
  <c r="DP42" i="4"/>
  <c r="DR42" i="4"/>
  <c r="H43" i="4"/>
  <c r="S43" i="4"/>
  <c r="M43" i="4" s="1"/>
  <c r="AP43" i="4"/>
  <c r="BG43" i="4"/>
  <c r="BI43" i="4"/>
  <c r="BJ43" i="4"/>
  <c r="BM43" i="4"/>
  <c r="BR43" i="4"/>
  <c r="BS43" i="4"/>
  <c r="BT43" i="4"/>
  <c r="BU43" i="4"/>
  <c r="BV43" i="4"/>
  <c r="BW43" i="4"/>
  <c r="BZ43" i="4"/>
  <c r="CH43" i="4"/>
  <c r="CB43" i="4" s="1"/>
  <c r="DE43" i="4"/>
  <c r="DG43" i="4"/>
  <c r="DH43" i="4"/>
  <c r="DJ43" i="4"/>
  <c r="DK43" i="4"/>
  <c r="DL43" i="4"/>
  <c r="DM43" i="4"/>
  <c r="DN43" i="4"/>
  <c r="DO43" i="4"/>
  <c r="DP43" i="4"/>
  <c r="DR43" i="4"/>
  <c r="M44" i="4"/>
  <c r="O44" i="4"/>
  <c r="T44" i="4"/>
  <c r="AL44" i="4"/>
  <c r="AQ44" i="4"/>
  <c r="AZ44" i="4"/>
  <c r="BV44" i="4" s="1"/>
  <c r="BG44" i="4"/>
  <c r="BI44" i="4"/>
  <c r="BJ44" i="4"/>
  <c r="BL44" i="4"/>
  <c r="BO44" i="4"/>
  <c r="BP44" i="4"/>
  <c r="BQ44" i="4"/>
  <c r="BR44" i="4"/>
  <c r="BS44" i="4"/>
  <c r="BT44" i="4"/>
  <c r="BU44" i="4"/>
  <c r="BW44" i="4"/>
  <c r="BZ44" i="4"/>
  <c r="CD44" i="4"/>
  <c r="CI44" i="4"/>
  <c r="DE44" i="4" s="1"/>
  <c r="DA44" i="4"/>
  <c r="DB44" i="4"/>
  <c r="DD44" i="4"/>
  <c r="DG44" i="4"/>
  <c r="DH44" i="4"/>
  <c r="DJ44" i="4"/>
  <c r="DK44" i="4"/>
  <c r="DL44" i="4"/>
  <c r="DM44" i="4"/>
  <c r="DN44" i="4"/>
  <c r="DO44" i="4"/>
  <c r="DP44" i="4"/>
  <c r="DR44" i="4"/>
  <c r="M45" i="4"/>
  <c r="O45" i="4"/>
  <c r="T45" i="4"/>
  <c r="AL45" i="4"/>
  <c r="AQ45" i="4"/>
  <c r="BM45" i="4" s="1"/>
  <c r="AZ45" i="4"/>
  <c r="BV45" i="4" s="1"/>
  <c r="BG45" i="4"/>
  <c r="BI45" i="4"/>
  <c r="BJ45" i="4"/>
  <c r="BL45" i="4"/>
  <c r="BO45" i="4"/>
  <c r="BP45" i="4"/>
  <c r="BQ45" i="4"/>
  <c r="BR45" i="4"/>
  <c r="BS45" i="4"/>
  <c r="BT45" i="4"/>
  <c r="BU45" i="4"/>
  <c r="BW45" i="4"/>
  <c r="BZ45" i="4"/>
  <c r="CD45" i="4"/>
  <c r="CI45" i="4"/>
  <c r="DE45" i="4" s="1"/>
  <c r="DA45" i="4"/>
  <c r="DB45" i="4"/>
  <c r="DD45" i="4"/>
  <c r="DG45" i="4"/>
  <c r="DH45" i="4"/>
  <c r="DJ45" i="4"/>
  <c r="DK45" i="4"/>
  <c r="DL45" i="4"/>
  <c r="DM45" i="4"/>
  <c r="DN45" i="4"/>
  <c r="DO45" i="4"/>
  <c r="DP45" i="4"/>
  <c r="DR45" i="4"/>
  <c r="AG46" i="4"/>
  <c r="M46" i="4" s="1"/>
  <c r="BD46" i="4"/>
  <c r="BG46" i="4"/>
  <c r="BI46" i="4"/>
  <c r="BJ46" i="4"/>
  <c r="BL46" i="4"/>
  <c r="BM46" i="4"/>
  <c r="BO46" i="4"/>
  <c r="BP46" i="4"/>
  <c r="BQ46" i="4"/>
  <c r="BR46" i="4"/>
  <c r="BS46" i="4"/>
  <c r="BT46" i="4"/>
  <c r="BU46" i="4"/>
  <c r="BV46" i="4"/>
  <c r="BW46" i="4"/>
  <c r="CV46" i="4"/>
  <c r="CB46" i="4" s="1"/>
  <c r="H46" i="4" s="1"/>
  <c r="DB46" i="4"/>
  <c r="DD46" i="4"/>
  <c r="DE46" i="4"/>
  <c r="DG46" i="4"/>
  <c r="DH46" i="4"/>
  <c r="DJ46" i="4"/>
  <c r="DK46" i="4"/>
  <c r="DL46" i="4"/>
  <c r="DM46" i="4"/>
  <c r="DN46" i="4"/>
  <c r="DO46" i="4"/>
  <c r="DP46" i="4"/>
  <c r="M47" i="4"/>
  <c r="O47" i="4"/>
  <c r="CZ47" i="4" s="1"/>
  <c r="AA47" i="4"/>
  <c r="AX47" i="4"/>
  <c r="BG47" i="4"/>
  <c r="BH47" i="4"/>
  <c r="BI47" i="4"/>
  <c r="BJ47" i="4"/>
  <c r="BL47" i="4"/>
  <c r="BM47" i="4"/>
  <c r="BO47" i="4"/>
  <c r="BP47" i="4"/>
  <c r="BQ47" i="4"/>
  <c r="BR47" i="4"/>
  <c r="BS47" i="4"/>
  <c r="BU47" i="4"/>
  <c r="BV47" i="4"/>
  <c r="BW47" i="4"/>
  <c r="BZ47" i="4"/>
  <c r="CP47" i="4"/>
  <c r="CP194" i="4" s="1"/>
  <c r="DA47" i="4"/>
  <c r="DB47" i="4"/>
  <c r="DD47" i="4"/>
  <c r="DE47" i="4"/>
  <c r="DG47" i="4"/>
  <c r="DH47" i="4"/>
  <c r="DJ47" i="4"/>
  <c r="DK47" i="4"/>
  <c r="DM47" i="4"/>
  <c r="DN47" i="4"/>
  <c r="DO47" i="4"/>
  <c r="DP47" i="4"/>
  <c r="DR47" i="4"/>
  <c r="O48" i="4"/>
  <c r="M48" i="4" s="1"/>
  <c r="S48" i="4"/>
  <c r="T48" i="4"/>
  <c r="AA48" i="4"/>
  <c r="AB48" i="4"/>
  <c r="AC48" i="4"/>
  <c r="AL48" i="4"/>
  <c r="AP48" i="4"/>
  <c r="AQ48" i="4"/>
  <c r="AR48" i="4"/>
  <c r="AS48" i="4"/>
  <c r="BO48" i="4" s="1"/>
  <c r="AX48" i="4"/>
  <c r="BT48" i="4" s="1"/>
  <c r="AY48" i="4"/>
  <c r="AZ48" i="4"/>
  <c r="BG48" i="4"/>
  <c r="BI48" i="4"/>
  <c r="BJ48" i="4"/>
  <c r="BN48" i="4"/>
  <c r="BP48" i="4"/>
  <c r="BQ48" i="4"/>
  <c r="BR48" i="4"/>
  <c r="BS48" i="4"/>
  <c r="BW48" i="4"/>
  <c r="BZ48" i="4"/>
  <c r="CD48" i="4"/>
  <c r="CZ48" i="4" s="1"/>
  <c r="CH48" i="4"/>
  <c r="CI48" i="4"/>
  <c r="CJ48" i="4"/>
  <c r="CK48" i="4"/>
  <c r="DG48" i="4" s="1"/>
  <c r="CQ48" i="4"/>
  <c r="DA48" i="4"/>
  <c r="DB48" i="4"/>
  <c r="DH48" i="4"/>
  <c r="DJ48" i="4"/>
  <c r="DK48" i="4"/>
  <c r="DL48" i="4"/>
  <c r="DO48" i="4"/>
  <c r="DP48" i="4"/>
  <c r="DR48" i="4"/>
  <c r="O49" i="4"/>
  <c r="M49" i="4" s="1"/>
  <c r="AZ49" i="4"/>
  <c r="AJ49" i="4" s="1"/>
  <c r="BG49" i="4"/>
  <c r="BI49" i="4"/>
  <c r="BJ49" i="4"/>
  <c r="BL49" i="4"/>
  <c r="BM49" i="4"/>
  <c r="BP49" i="4"/>
  <c r="BR49" i="4"/>
  <c r="BS49" i="4"/>
  <c r="BT49" i="4"/>
  <c r="BU49" i="4"/>
  <c r="BW49" i="4"/>
  <c r="BZ49" i="4"/>
  <c r="CB49" i="4"/>
  <c r="CA49" i="4" s="1"/>
  <c r="CW49" i="4" s="1"/>
  <c r="CD49" i="4"/>
  <c r="CZ49" i="4"/>
  <c r="DA49" i="4"/>
  <c r="DB49" i="4"/>
  <c r="DD49" i="4"/>
  <c r="DE49" i="4"/>
  <c r="DG49" i="4"/>
  <c r="DH49" i="4"/>
  <c r="DJ49" i="4"/>
  <c r="DK49" i="4"/>
  <c r="DL49" i="4"/>
  <c r="DM49" i="4"/>
  <c r="DN49" i="4"/>
  <c r="DO49" i="4"/>
  <c r="DP49" i="4"/>
  <c r="DR49" i="4"/>
  <c r="AB50" i="4"/>
  <c r="AG50" i="4"/>
  <c r="AJ50" i="4"/>
  <c r="BD50" i="4"/>
  <c r="BG50" i="4"/>
  <c r="BH50" i="4"/>
  <c r="BI50" i="4"/>
  <c r="BJ50" i="4"/>
  <c r="BL50" i="4"/>
  <c r="BM50" i="4"/>
  <c r="BP50" i="4"/>
  <c r="BR50" i="4"/>
  <c r="BS50" i="4"/>
  <c r="BT50" i="4"/>
  <c r="BU50" i="4"/>
  <c r="BV50" i="4"/>
  <c r="BW50" i="4"/>
  <c r="CQ50" i="4"/>
  <c r="DM50" i="4" s="1"/>
  <c r="CV50" i="4"/>
  <c r="DB50" i="4"/>
  <c r="DD50" i="4"/>
  <c r="DE50" i="4"/>
  <c r="DG50" i="4"/>
  <c r="DH50" i="4"/>
  <c r="DJ50" i="4"/>
  <c r="DK50" i="4"/>
  <c r="DL50" i="4"/>
  <c r="DN50" i="4"/>
  <c r="DO50" i="4"/>
  <c r="DP50" i="4"/>
  <c r="M51" i="4"/>
  <c r="I51" i="4" s="1"/>
  <c r="AG51" i="4"/>
  <c r="BD51" i="4"/>
  <c r="BZ51" i="4" s="1"/>
  <c r="BG51" i="4"/>
  <c r="BH51" i="4"/>
  <c r="BI51" i="4"/>
  <c r="BJ51" i="4"/>
  <c r="BL51" i="4"/>
  <c r="BM51" i="4"/>
  <c r="BP51" i="4"/>
  <c r="BR51" i="4"/>
  <c r="BS51" i="4"/>
  <c r="BT51" i="4"/>
  <c r="BU51" i="4"/>
  <c r="BV51" i="4"/>
  <c r="BW51" i="4"/>
  <c r="CA51" i="4"/>
  <c r="CW51" i="4" s="1"/>
  <c r="CB51" i="4"/>
  <c r="H51" i="4" s="1"/>
  <c r="DB51" i="4"/>
  <c r="DD51" i="4"/>
  <c r="DE51" i="4"/>
  <c r="DG51" i="4"/>
  <c r="CX51" i="4" s="1"/>
  <c r="DH51" i="4"/>
  <c r="DJ51" i="4"/>
  <c r="DK51" i="4"/>
  <c r="DL51" i="4"/>
  <c r="DM51" i="4"/>
  <c r="DN51" i="4"/>
  <c r="DO51" i="4"/>
  <c r="DP51" i="4"/>
  <c r="DR51" i="4"/>
  <c r="M52" i="4"/>
  <c r="AJ52" i="4"/>
  <c r="BG52" i="4"/>
  <c r="BH52" i="4"/>
  <c r="BI52" i="4"/>
  <c r="BJ52" i="4"/>
  <c r="BL52" i="4"/>
  <c r="BM52" i="4"/>
  <c r="BO52" i="4"/>
  <c r="BP52" i="4"/>
  <c r="BQ52" i="4"/>
  <c r="BR52" i="4"/>
  <c r="BS52" i="4"/>
  <c r="BT52" i="4"/>
  <c r="BU52" i="4"/>
  <c r="BV52" i="4"/>
  <c r="BW52" i="4"/>
  <c r="BZ52" i="4"/>
  <c r="CO52" i="4"/>
  <c r="CB52" i="4" s="1"/>
  <c r="H52" i="4" s="1"/>
  <c r="DB52" i="4"/>
  <c r="DD52" i="4"/>
  <c r="DE52" i="4"/>
  <c r="DG52" i="4"/>
  <c r="DH52" i="4"/>
  <c r="DJ52" i="4"/>
  <c r="DL52" i="4"/>
  <c r="DM52" i="4"/>
  <c r="DN52" i="4"/>
  <c r="DO52" i="4"/>
  <c r="DP52" i="4"/>
  <c r="DR52" i="4"/>
  <c r="M53" i="4"/>
  <c r="AG53" i="4"/>
  <c r="BD53" i="4"/>
  <c r="BG53" i="4"/>
  <c r="BH53" i="4"/>
  <c r="BI53" i="4"/>
  <c r="BJ53" i="4"/>
  <c r="BL53" i="4"/>
  <c r="BM53" i="4"/>
  <c r="BO53" i="4"/>
  <c r="BP53" i="4"/>
  <c r="BQ53" i="4"/>
  <c r="BR53" i="4"/>
  <c r="BS53" i="4"/>
  <c r="BT53" i="4"/>
  <c r="BU53" i="4"/>
  <c r="BV53" i="4"/>
  <c r="BW53" i="4"/>
  <c r="BX53" i="4"/>
  <c r="BY53" i="4"/>
  <c r="CV53" i="4"/>
  <c r="DB53" i="4"/>
  <c r="DD53" i="4"/>
  <c r="DE53" i="4"/>
  <c r="DG53" i="4"/>
  <c r="DH53" i="4"/>
  <c r="DJ53" i="4"/>
  <c r="DK53" i="4"/>
  <c r="DL53" i="4"/>
  <c r="DM53" i="4"/>
  <c r="DN53" i="4"/>
  <c r="DO53" i="4"/>
  <c r="DP53" i="4"/>
  <c r="O54" i="4"/>
  <c r="M54" i="4" s="1"/>
  <c r="AL54" i="4"/>
  <c r="BH54" i="4" s="1"/>
  <c r="AP54" i="4"/>
  <c r="BL54" i="4" s="1"/>
  <c r="AZ54" i="4"/>
  <c r="BV54" i="4" s="1"/>
  <c r="BG54" i="4"/>
  <c r="BI54" i="4"/>
  <c r="BJ54" i="4"/>
  <c r="BM54" i="4"/>
  <c r="BO54" i="4"/>
  <c r="BP54" i="4"/>
  <c r="BQ54" i="4"/>
  <c r="BR54" i="4"/>
  <c r="BS54" i="4"/>
  <c r="BT54" i="4"/>
  <c r="BU54" i="4"/>
  <c r="BW54" i="4"/>
  <c r="BX54" i="4"/>
  <c r="BY54" i="4"/>
  <c r="BZ54" i="4"/>
  <c r="CD54" i="4"/>
  <c r="CH54" i="4"/>
  <c r="DD54" i="4" s="1"/>
  <c r="CR54" i="4"/>
  <c r="DN54" i="4" s="1"/>
  <c r="DA54" i="4"/>
  <c r="DB54" i="4"/>
  <c r="DE54" i="4"/>
  <c r="DG54" i="4"/>
  <c r="DH54" i="4"/>
  <c r="DJ54" i="4"/>
  <c r="DK54" i="4"/>
  <c r="DL54" i="4"/>
  <c r="DM54" i="4"/>
  <c r="DO54" i="4"/>
  <c r="DP54" i="4"/>
  <c r="DR54" i="4"/>
  <c r="M55" i="4"/>
  <c r="Z55" i="4"/>
  <c r="AW55" i="4"/>
  <c r="AJ55" i="4" s="1"/>
  <c r="AI55" i="4" s="1"/>
  <c r="BE55" i="4" s="1"/>
  <c r="BG55" i="4"/>
  <c r="BH55" i="4"/>
  <c r="BI55" i="4"/>
  <c r="BJ55" i="4"/>
  <c r="BL55" i="4"/>
  <c r="BM55" i="4"/>
  <c r="BP55" i="4"/>
  <c r="BR55" i="4"/>
  <c r="BS55" i="4"/>
  <c r="BT55" i="4"/>
  <c r="BV55" i="4"/>
  <c r="BW55" i="4"/>
  <c r="BZ55" i="4"/>
  <c r="CO55" i="4"/>
  <c r="DB55" i="4"/>
  <c r="DD55" i="4"/>
  <c r="DE55" i="4"/>
  <c r="DG55" i="4"/>
  <c r="DH55" i="4"/>
  <c r="DJ55" i="4"/>
  <c r="DL55" i="4"/>
  <c r="DM55" i="4"/>
  <c r="DN55" i="4"/>
  <c r="DO55" i="4"/>
  <c r="DP55" i="4"/>
  <c r="DR55" i="4"/>
  <c r="M56" i="4"/>
  <c r="AJ56" i="4"/>
  <c r="AP56" i="4"/>
  <c r="BG56" i="4"/>
  <c r="BH56" i="4"/>
  <c r="BI56" i="4"/>
  <c r="BJ56" i="4"/>
  <c r="BL56" i="4"/>
  <c r="BM56" i="4"/>
  <c r="BO56" i="4"/>
  <c r="BP56" i="4"/>
  <c r="BQ56" i="4"/>
  <c r="BR56" i="4"/>
  <c r="BS56" i="4"/>
  <c r="BT56" i="4"/>
  <c r="BU56" i="4"/>
  <c r="BV56" i="4"/>
  <c r="BW56" i="4"/>
  <c r="BX56" i="4"/>
  <c r="BY56" i="4"/>
  <c r="BZ56" i="4"/>
  <c r="CH56" i="4"/>
  <c r="CB56" i="4" s="1"/>
  <c r="H56" i="4" s="1"/>
  <c r="DB56" i="4"/>
  <c r="DE56" i="4"/>
  <c r="DG56" i="4"/>
  <c r="DH56" i="4"/>
  <c r="DJ56" i="4"/>
  <c r="DK56" i="4"/>
  <c r="DL56" i="4"/>
  <c r="DM56" i="4"/>
  <c r="DN56" i="4"/>
  <c r="DO56" i="4"/>
  <c r="DP56" i="4"/>
  <c r="DR56" i="4"/>
  <c r="M57" i="4"/>
  <c r="AP57" i="4"/>
  <c r="AJ57" i="4" s="1"/>
  <c r="BG57" i="4"/>
  <c r="BI57" i="4"/>
  <c r="BJ57" i="4"/>
  <c r="BL57" i="4"/>
  <c r="BM57" i="4"/>
  <c r="BP57" i="4"/>
  <c r="BR57" i="4"/>
  <c r="BS57" i="4"/>
  <c r="BT57" i="4"/>
  <c r="BU57" i="4"/>
  <c r="BV57" i="4"/>
  <c r="BW57" i="4"/>
  <c r="BZ57" i="4"/>
  <c r="CH57" i="4"/>
  <c r="CB57" i="4" s="1"/>
  <c r="DB57" i="4"/>
  <c r="DD57" i="4"/>
  <c r="DE57" i="4"/>
  <c r="DG57" i="4"/>
  <c r="DH57" i="4"/>
  <c r="DJ57" i="4"/>
  <c r="DK57" i="4"/>
  <c r="DL57" i="4"/>
  <c r="DM57" i="4"/>
  <c r="DN57" i="4"/>
  <c r="DO57" i="4"/>
  <c r="DP57" i="4"/>
  <c r="DR57" i="4"/>
  <c r="Q58" i="4"/>
  <c r="S58" i="4"/>
  <c r="AG58" i="4"/>
  <c r="AN58" i="4"/>
  <c r="BJ58" i="4" s="1"/>
  <c r="BG58" i="4"/>
  <c r="BI58" i="4"/>
  <c r="BM58" i="4"/>
  <c r="BP58" i="4"/>
  <c r="BR58" i="4"/>
  <c r="BS58" i="4"/>
  <c r="BT58" i="4"/>
  <c r="BU58" i="4"/>
  <c r="BV58" i="4"/>
  <c r="BW58" i="4"/>
  <c r="CF58" i="4"/>
  <c r="CB58" i="4" s="1"/>
  <c r="H58" i="4" s="1"/>
  <c r="DB58" i="4"/>
  <c r="DE58" i="4"/>
  <c r="DG58" i="4"/>
  <c r="DH58" i="4"/>
  <c r="DJ58" i="4"/>
  <c r="DK58" i="4"/>
  <c r="DL58" i="4"/>
  <c r="DM58" i="4"/>
  <c r="DN58" i="4"/>
  <c r="DO58" i="4"/>
  <c r="DP58" i="4"/>
  <c r="H59" i="4"/>
  <c r="M59" i="4"/>
  <c r="I59" i="4" s="1"/>
  <c r="AG59" i="4"/>
  <c r="DR59" i="4" s="1"/>
  <c r="CX59" i="4" s="1"/>
  <c r="BD59" i="4"/>
  <c r="AJ59" i="4" s="1"/>
  <c r="BI59" i="4"/>
  <c r="CB59" i="4"/>
  <c r="O60" i="4"/>
  <c r="Q60" i="4"/>
  <c r="S60" i="4"/>
  <c r="AN60" i="4"/>
  <c r="AP60" i="4"/>
  <c r="BL60" i="4" s="1"/>
  <c r="BG60" i="4"/>
  <c r="BI60" i="4"/>
  <c r="BM60" i="4"/>
  <c r="BP60" i="4"/>
  <c r="BR60" i="4"/>
  <c r="BS60" i="4"/>
  <c r="BT60" i="4"/>
  <c r="BU60" i="4"/>
  <c r="BV60" i="4"/>
  <c r="BW60" i="4"/>
  <c r="BZ60" i="4"/>
  <c r="CF60" i="4"/>
  <c r="CH60" i="4"/>
  <c r="DD60" i="4" s="1"/>
  <c r="DA60" i="4"/>
  <c r="DB60" i="4"/>
  <c r="DE60" i="4"/>
  <c r="DG60" i="4"/>
  <c r="DH60" i="4"/>
  <c r="DJ60" i="4"/>
  <c r="DK60" i="4"/>
  <c r="DL60" i="4"/>
  <c r="DM60" i="4"/>
  <c r="DN60" i="4"/>
  <c r="DO60" i="4"/>
  <c r="DP60" i="4"/>
  <c r="DR60" i="4"/>
  <c r="AG61" i="4"/>
  <c r="BD61" i="4"/>
  <c r="BZ61" i="4" s="1"/>
  <c r="BG61" i="4"/>
  <c r="BI61" i="4"/>
  <c r="BJ61" i="4"/>
  <c r="BL61" i="4"/>
  <c r="BM61" i="4"/>
  <c r="BP61" i="4"/>
  <c r="BR61" i="4"/>
  <c r="BS61" i="4"/>
  <c r="BF61" i="4" s="1"/>
  <c r="BT61" i="4"/>
  <c r="BU61" i="4"/>
  <c r="BV61" i="4"/>
  <c r="BW61" i="4"/>
  <c r="CB61" i="4"/>
  <c r="DB61" i="4"/>
  <c r="DD61" i="4"/>
  <c r="DE61" i="4"/>
  <c r="DG61" i="4"/>
  <c r="DH61" i="4"/>
  <c r="DJ61" i="4"/>
  <c r="DK61" i="4"/>
  <c r="DL61" i="4"/>
  <c r="DM61" i="4"/>
  <c r="DN61" i="4"/>
  <c r="DO61" i="4"/>
  <c r="DP61" i="4"/>
  <c r="M62" i="4"/>
  <c r="AC62" i="4"/>
  <c r="AY62" i="4"/>
  <c r="BG62" i="4"/>
  <c r="BI62" i="4"/>
  <c r="BJ62" i="4"/>
  <c r="BL62" i="4"/>
  <c r="BM62" i="4"/>
  <c r="BP62" i="4"/>
  <c r="BR62" i="4"/>
  <c r="BS62" i="4"/>
  <c r="BT62" i="4"/>
  <c r="BV62" i="4"/>
  <c r="BW62" i="4"/>
  <c r="BZ62" i="4"/>
  <c r="CQ62" i="4"/>
  <c r="CR62" i="4"/>
  <c r="DB62" i="4"/>
  <c r="DD62" i="4"/>
  <c r="DE62" i="4"/>
  <c r="DG62" i="4"/>
  <c r="DH62" i="4"/>
  <c r="DJ62" i="4"/>
  <c r="DK62" i="4"/>
  <c r="DL62" i="4"/>
  <c r="DM62" i="4"/>
  <c r="DO62" i="4"/>
  <c r="DP62" i="4"/>
  <c r="DR62" i="4"/>
  <c r="M63" i="4"/>
  <c r="AZ63" i="4"/>
  <c r="BG63" i="4"/>
  <c r="BI63" i="4"/>
  <c r="BJ63" i="4"/>
  <c r="BL63" i="4"/>
  <c r="BM63" i="4"/>
  <c r="BP63" i="4"/>
  <c r="BR63" i="4"/>
  <c r="BS63" i="4"/>
  <c r="BT63" i="4"/>
  <c r="BU63" i="4"/>
  <c r="BW63" i="4"/>
  <c r="BZ63" i="4"/>
  <c r="CR63" i="4"/>
  <c r="CB63" i="4" s="1"/>
  <c r="DB63" i="4"/>
  <c r="DD63" i="4"/>
  <c r="DE63" i="4"/>
  <c r="DG63" i="4"/>
  <c r="DH63" i="4"/>
  <c r="DJ63" i="4"/>
  <c r="DK63" i="4"/>
  <c r="DL63" i="4"/>
  <c r="DM63" i="4"/>
  <c r="DO63" i="4"/>
  <c r="DP63" i="4"/>
  <c r="DR63" i="4"/>
  <c r="M64" i="4"/>
  <c r="AC64" i="4"/>
  <c r="AG64" i="4"/>
  <c r="DR64" i="4" s="1"/>
  <c r="AY64" i="4"/>
  <c r="AZ64" i="4"/>
  <c r="BV64" i="4" s="1"/>
  <c r="BD64" i="4"/>
  <c r="BZ64" i="4" s="1"/>
  <c r="BG64" i="4"/>
  <c r="BI64" i="4"/>
  <c r="BJ64" i="4"/>
  <c r="BL64" i="4"/>
  <c r="BM64" i="4"/>
  <c r="BP64" i="4"/>
  <c r="BR64" i="4"/>
  <c r="BS64" i="4"/>
  <c r="BT64" i="4"/>
  <c r="BU64" i="4"/>
  <c r="BW64" i="4"/>
  <c r="CQ64" i="4"/>
  <c r="CR64" i="4"/>
  <c r="DN64" i="4" s="1"/>
  <c r="DB64" i="4"/>
  <c r="DD64" i="4"/>
  <c r="DE64" i="4"/>
  <c r="DG64" i="4"/>
  <c r="DH64" i="4"/>
  <c r="DJ64" i="4"/>
  <c r="DK64" i="4"/>
  <c r="DL64" i="4"/>
  <c r="DO64" i="4"/>
  <c r="DP64" i="4"/>
  <c r="M65" i="4"/>
  <c r="AC65" i="4"/>
  <c r="AX65" i="4"/>
  <c r="AY65" i="4"/>
  <c r="BU65" i="4" s="1"/>
  <c r="BG65" i="4"/>
  <c r="BI65" i="4"/>
  <c r="BJ65" i="4"/>
  <c r="BL65" i="4"/>
  <c r="BM65" i="4"/>
  <c r="BP65" i="4"/>
  <c r="BR65" i="4"/>
  <c r="BS65" i="4"/>
  <c r="BV65" i="4"/>
  <c r="BW65" i="4"/>
  <c r="BZ65" i="4"/>
  <c r="CP65" i="4"/>
  <c r="DL65" i="4" s="1"/>
  <c r="CQ65" i="4"/>
  <c r="DM65" i="4" s="1"/>
  <c r="DB65" i="4"/>
  <c r="DD65" i="4"/>
  <c r="DE65" i="4"/>
  <c r="DG65" i="4"/>
  <c r="DH65" i="4"/>
  <c r="DJ65" i="4"/>
  <c r="DK65" i="4"/>
  <c r="DN65" i="4"/>
  <c r="DO65" i="4"/>
  <c r="DP65" i="4"/>
  <c r="DR65" i="4"/>
  <c r="AG66" i="4"/>
  <c r="AJ66" i="4"/>
  <c r="BG66" i="4"/>
  <c r="BI66" i="4"/>
  <c r="BJ66" i="4"/>
  <c r="BL66" i="4"/>
  <c r="BM66" i="4"/>
  <c r="BO66" i="4"/>
  <c r="BP66" i="4"/>
  <c r="BQ66" i="4"/>
  <c r="BR66" i="4"/>
  <c r="BS66" i="4"/>
  <c r="BT66" i="4"/>
  <c r="BU66" i="4"/>
  <c r="BV66" i="4"/>
  <c r="BW66" i="4"/>
  <c r="BX66" i="4"/>
  <c r="BY66" i="4"/>
  <c r="CV66" i="4"/>
  <c r="CZ66" i="4"/>
  <c r="DB66" i="4"/>
  <c r="DD66" i="4"/>
  <c r="DE66" i="4"/>
  <c r="DG66" i="4"/>
  <c r="DH66" i="4"/>
  <c r="DJ66" i="4"/>
  <c r="DK66" i="4"/>
  <c r="DL66" i="4"/>
  <c r="DM66" i="4"/>
  <c r="DN66" i="4"/>
  <c r="DO66" i="4"/>
  <c r="DP66" i="4"/>
  <c r="G67" i="4"/>
  <c r="G189" i="4" s="1"/>
  <c r="N67" i="4"/>
  <c r="P67" i="4"/>
  <c r="Q67" i="4"/>
  <c r="R67" i="4"/>
  <c r="T67" i="4"/>
  <c r="U67" i="4"/>
  <c r="V67" i="4"/>
  <c r="W67" i="4"/>
  <c r="X67" i="4"/>
  <c r="Y67" i="4"/>
  <c r="Z67" i="4"/>
  <c r="AA67" i="4"/>
  <c r="AB67" i="4"/>
  <c r="AC67" i="4"/>
  <c r="AD67" i="4"/>
  <c r="AE67" i="4"/>
  <c r="AF67" i="4"/>
  <c r="AK67" i="4"/>
  <c r="AM67" i="4"/>
  <c r="AO67" i="4"/>
  <c r="AR67" i="4"/>
  <c r="AS67" i="4"/>
  <c r="AT67" i="4"/>
  <c r="AU67" i="4"/>
  <c r="AV67" i="4"/>
  <c r="AW67" i="4"/>
  <c r="BA67" i="4"/>
  <c r="BC67" i="4"/>
  <c r="BK67" i="4"/>
  <c r="BN67" i="4"/>
  <c r="BN189" i="4" s="1"/>
  <c r="CC67" i="4"/>
  <c r="CG67" i="4"/>
  <c r="CL67" i="4"/>
  <c r="CM67" i="4"/>
  <c r="CN67" i="4"/>
  <c r="CS67" i="4"/>
  <c r="CU67" i="4"/>
  <c r="CY67" i="4"/>
  <c r="DC67" i="4"/>
  <c r="DI67" i="4"/>
  <c r="DQ67" i="4"/>
  <c r="AG68" i="4"/>
  <c r="BD68" i="4"/>
  <c r="AJ68" i="4" s="1"/>
  <c r="BG68" i="4"/>
  <c r="BH68" i="4"/>
  <c r="BJ68" i="4"/>
  <c r="BL68" i="4"/>
  <c r="BM68" i="4"/>
  <c r="BO68" i="4"/>
  <c r="BP68" i="4"/>
  <c r="BQ68" i="4"/>
  <c r="BR68" i="4"/>
  <c r="BS68" i="4"/>
  <c r="BT68" i="4"/>
  <c r="BU68" i="4"/>
  <c r="BV68" i="4"/>
  <c r="BW68" i="4"/>
  <c r="CV68" i="4"/>
  <c r="CB68" i="4" s="1"/>
  <c r="H68" i="4" s="1"/>
  <c r="DB68" i="4"/>
  <c r="DD68" i="4"/>
  <c r="DE68" i="4"/>
  <c r="DG68" i="4"/>
  <c r="DH68" i="4"/>
  <c r="DJ68" i="4"/>
  <c r="DK68" i="4"/>
  <c r="DL68" i="4"/>
  <c r="DM68" i="4"/>
  <c r="DN68" i="4"/>
  <c r="DO68" i="4"/>
  <c r="DP68" i="4"/>
  <c r="DP103" i="4" s="1"/>
  <c r="M69" i="4"/>
  <c r="S69" i="4"/>
  <c r="AJ69" i="4"/>
  <c r="AP69" i="4"/>
  <c r="BG69" i="4"/>
  <c r="BG103" i="4" s="1"/>
  <c r="BH69" i="4"/>
  <c r="BJ69" i="4"/>
  <c r="BL69" i="4"/>
  <c r="BM69" i="4"/>
  <c r="BP69" i="4"/>
  <c r="BP103" i="4" s="1"/>
  <c r="BR69" i="4"/>
  <c r="BS69" i="4"/>
  <c r="BT69" i="4"/>
  <c r="BT103" i="4" s="1"/>
  <c r="BU69" i="4"/>
  <c r="BV69" i="4"/>
  <c r="BW69" i="4"/>
  <c r="BZ69" i="4"/>
  <c r="CH69" i="4"/>
  <c r="CB69" i="4" s="1"/>
  <c r="H69" i="4" s="1"/>
  <c r="I69" i="4" s="1"/>
  <c r="DB69" i="4"/>
  <c r="DE69" i="4"/>
  <c r="DG69" i="4"/>
  <c r="DH69" i="4"/>
  <c r="DJ69" i="4"/>
  <c r="DK69" i="4"/>
  <c r="DL69" i="4"/>
  <c r="DM69" i="4"/>
  <c r="DN69" i="4"/>
  <c r="DO69" i="4"/>
  <c r="DP69" i="4"/>
  <c r="DR69" i="4"/>
  <c r="M70" i="4"/>
  <c r="S70" i="4"/>
  <c r="AP70" i="4"/>
  <c r="AY70" i="4"/>
  <c r="BU70" i="4" s="1"/>
  <c r="BG70" i="4"/>
  <c r="BH70" i="4"/>
  <c r="BJ70" i="4"/>
  <c r="BM70" i="4"/>
  <c r="BP70" i="4"/>
  <c r="BR70" i="4"/>
  <c r="BS70" i="4"/>
  <c r="BT70" i="4"/>
  <c r="BV70" i="4"/>
  <c r="BW70" i="4"/>
  <c r="BZ70" i="4"/>
  <c r="CH70" i="4"/>
  <c r="DB70" i="4"/>
  <c r="DE70" i="4"/>
  <c r="DG70" i="4"/>
  <c r="DH70" i="4"/>
  <c r="DJ70" i="4"/>
  <c r="DK70" i="4"/>
  <c r="DL70" i="4"/>
  <c r="DM70" i="4"/>
  <c r="DN70" i="4"/>
  <c r="DO70" i="4"/>
  <c r="DP70" i="4"/>
  <c r="DR70" i="4"/>
  <c r="AG71" i="4"/>
  <c r="M71" i="4" s="1"/>
  <c r="AP71" i="4"/>
  <c r="BD71" i="4"/>
  <c r="BZ71" i="4" s="1"/>
  <c r="BG71" i="4"/>
  <c r="BH71" i="4"/>
  <c r="BJ71" i="4"/>
  <c r="BL71" i="4"/>
  <c r="BM71" i="4"/>
  <c r="BO71" i="4"/>
  <c r="BP71" i="4"/>
  <c r="BQ71" i="4"/>
  <c r="BQ196" i="4" s="1"/>
  <c r="BR71" i="4"/>
  <c r="BS71" i="4"/>
  <c r="BT71" i="4"/>
  <c r="BU71" i="4"/>
  <c r="BV71" i="4"/>
  <c r="BW71" i="4"/>
  <c r="CH71" i="4"/>
  <c r="CV71" i="4"/>
  <c r="DR71" i="4" s="1"/>
  <c r="DB71" i="4"/>
  <c r="DE71" i="4"/>
  <c r="DG71" i="4"/>
  <c r="DH71" i="4"/>
  <c r="DJ71" i="4"/>
  <c r="DK71" i="4"/>
  <c r="DL71" i="4"/>
  <c r="DM71" i="4"/>
  <c r="DN71" i="4"/>
  <c r="DO71" i="4"/>
  <c r="DP71" i="4"/>
  <c r="AG72" i="4"/>
  <c r="BD72" i="4"/>
  <c r="BG72" i="4"/>
  <c r="BH72" i="4"/>
  <c r="BJ72" i="4"/>
  <c r="BL72" i="4"/>
  <c r="BM72" i="4"/>
  <c r="BO72" i="4"/>
  <c r="BP72" i="4"/>
  <c r="BQ72" i="4"/>
  <c r="BR72" i="4"/>
  <c r="BS72" i="4"/>
  <c r="BT72" i="4"/>
  <c r="BU72" i="4"/>
  <c r="BV72" i="4"/>
  <c r="BW72" i="4"/>
  <c r="BX72" i="4"/>
  <c r="CV72" i="4"/>
  <c r="DB72" i="4"/>
  <c r="DD72" i="4"/>
  <c r="DE72" i="4"/>
  <c r="DG72" i="4"/>
  <c r="DH72" i="4"/>
  <c r="DJ72" i="4"/>
  <c r="DK72" i="4"/>
  <c r="DL72" i="4"/>
  <c r="DM72" i="4"/>
  <c r="DN72" i="4"/>
  <c r="DO72" i="4"/>
  <c r="DP72" i="4"/>
  <c r="M73" i="4"/>
  <c r="AG73" i="4"/>
  <c r="BD73" i="4"/>
  <c r="AJ73" i="4" s="1"/>
  <c r="AI73" i="4" s="1"/>
  <c r="BE73" i="4" s="1"/>
  <c r="BG73" i="4"/>
  <c r="BH73" i="4"/>
  <c r="BJ73" i="4"/>
  <c r="BL73" i="4"/>
  <c r="BM73" i="4"/>
  <c r="BP73" i="4"/>
  <c r="BQ73" i="4"/>
  <c r="BR73" i="4"/>
  <c r="BS73" i="4"/>
  <c r="BT73" i="4"/>
  <c r="BU73" i="4"/>
  <c r="BV73" i="4"/>
  <c r="BW73" i="4"/>
  <c r="CV73" i="4"/>
  <c r="DB73" i="4"/>
  <c r="DD73" i="4"/>
  <c r="DE73" i="4"/>
  <c r="DG73" i="4"/>
  <c r="DH73" i="4"/>
  <c r="DJ73" i="4"/>
  <c r="DK73" i="4"/>
  <c r="DL73" i="4"/>
  <c r="DM73" i="4"/>
  <c r="DN73" i="4"/>
  <c r="DO73" i="4"/>
  <c r="DP73" i="4"/>
  <c r="H74" i="4"/>
  <c r="I74" i="4" s="1"/>
  <c r="T74" i="4"/>
  <c r="M74" i="4" s="1"/>
  <c r="AJ74" i="4"/>
  <c r="AI74" i="4" s="1"/>
  <c r="BE74" i="4" s="1"/>
  <c r="BG74" i="4"/>
  <c r="BH74" i="4"/>
  <c r="BJ74" i="4"/>
  <c r="BL74" i="4"/>
  <c r="BO74" i="4"/>
  <c r="BP74" i="4"/>
  <c r="BQ74" i="4"/>
  <c r="BR74" i="4"/>
  <c r="BS74" i="4"/>
  <c r="BT74" i="4"/>
  <c r="BU74" i="4"/>
  <c r="BV74" i="4"/>
  <c r="BW74" i="4"/>
  <c r="BX74" i="4"/>
  <c r="BZ74" i="4"/>
  <c r="CB74" i="4"/>
  <c r="CA74" i="4" s="1"/>
  <c r="CW74" i="4" s="1"/>
  <c r="DB74" i="4"/>
  <c r="DD74" i="4"/>
  <c r="DE74" i="4"/>
  <c r="DG74" i="4"/>
  <c r="CX74" i="4" s="1"/>
  <c r="DH74" i="4"/>
  <c r="DJ74" i="4"/>
  <c r="DK74" i="4"/>
  <c r="DL74" i="4"/>
  <c r="DM74" i="4"/>
  <c r="DN74" i="4"/>
  <c r="DO74" i="4"/>
  <c r="DP74" i="4"/>
  <c r="DR74" i="4"/>
  <c r="M75" i="4"/>
  <c r="AP75" i="4"/>
  <c r="BL75" i="4" s="1"/>
  <c r="AY75" i="4"/>
  <c r="BG75" i="4"/>
  <c r="BH75" i="4"/>
  <c r="BJ75" i="4"/>
  <c r="BM75" i="4"/>
  <c r="BO75" i="4"/>
  <c r="BP75" i="4"/>
  <c r="BQ75" i="4"/>
  <c r="BR75" i="4"/>
  <c r="BS75" i="4"/>
  <c r="BT75" i="4"/>
  <c r="BV75" i="4"/>
  <c r="BW75" i="4"/>
  <c r="BX75" i="4"/>
  <c r="BZ75" i="4"/>
  <c r="CH75" i="4"/>
  <c r="CQ75" i="4"/>
  <c r="DM75" i="4" s="1"/>
  <c r="DB75" i="4"/>
  <c r="DD75" i="4"/>
  <c r="DE75" i="4"/>
  <c r="DG75" i="4"/>
  <c r="DH75" i="4"/>
  <c r="DJ75" i="4"/>
  <c r="DK75" i="4"/>
  <c r="DL75" i="4"/>
  <c r="DN75" i="4"/>
  <c r="DO75" i="4"/>
  <c r="DP75" i="4"/>
  <c r="DR75" i="4"/>
  <c r="M76" i="4"/>
  <c r="AP76" i="4"/>
  <c r="AJ76" i="4" s="1"/>
  <c r="AI76" i="4" s="1"/>
  <c r="BE76" i="4" s="1"/>
  <c r="BG76" i="4"/>
  <c r="BH76" i="4"/>
  <c r="BJ76" i="4"/>
  <c r="BL76" i="4"/>
  <c r="BF76" i="4" s="1"/>
  <c r="BM76" i="4"/>
  <c r="BO76" i="4"/>
  <c r="BP76" i="4"/>
  <c r="BQ76" i="4"/>
  <c r="BR76" i="4"/>
  <c r="BS76" i="4"/>
  <c r="BT76" i="4"/>
  <c r="BU76" i="4"/>
  <c r="BV76" i="4"/>
  <c r="BW76" i="4"/>
  <c r="BX76" i="4"/>
  <c r="BZ76" i="4"/>
  <c r="CH76" i="4"/>
  <c r="CB76" i="4" s="1"/>
  <c r="DB76" i="4"/>
  <c r="DE76" i="4"/>
  <c r="DG76" i="4"/>
  <c r="DH76" i="4"/>
  <c r="DJ76" i="4"/>
  <c r="DK76" i="4"/>
  <c r="DL76" i="4"/>
  <c r="DM76" i="4"/>
  <c r="DN76" i="4"/>
  <c r="DO76" i="4"/>
  <c r="DP76" i="4"/>
  <c r="DR76" i="4"/>
  <c r="M77" i="4"/>
  <c r="AG77" i="4"/>
  <c r="BD77" i="4"/>
  <c r="AJ77" i="4" s="1"/>
  <c r="AI77" i="4" s="1"/>
  <c r="BE77" i="4" s="1"/>
  <c r="BG77" i="4"/>
  <c r="BH77" i="4"/>
  <c r="BJ77" i="4"/>
  <c r="BL77" i="4"/>
  <c r="BM77" i="4"/>
  <c r="BO77" i="4"/>
  <c r="BP77" i="4"/>
  <c r="BQ77" i="4"/>
  <c r="BR77" i="4"/>
  <c r="BS77" i="4"/>
  <c r="BT77" i="4"/>
  <c r="BU77" i="4"/>
  <c r="BV77" i="4"/>
  <c r="BW77" i="4"/>
  <c r="CB77" i="4"/>
  <c r="DB77" i="4"/>
  <c r="DD77" i="4"/>
  <c r="DE77" i="4"/>
  <c r="DG77" i="4"/>
  <c r="DH77" i="4"/>
  <c r="DJ77" i="4"/>
  <c r="DK77" i="4"/>
  <c r="DL77" i="4"/>
  <c r="DM77" i="4"/>
  <c r="DN77" i="4"/>
  <c r="DO77" i="4"/>
  <c r="DP77" i="4"/>
  <c r="DR77" i="4"/>
  <c r="O78" i="4"/>
  <c r="T78" i="4"/>
  <c r="AQ78" i="4"/>
  <c r="AJ78" i="4" s="1"/>
  <c r="BG78" i="4"/>
  <c r="BJ78" i="4"/>
  <c r="BL78" i="4"/>
  <c r="BO78" i="4"/>
  <c r="BP78" i="4"/>
  <c r="BQ78" i="4"/>
  <c r="BR78" i="4"/>
  <c r="BS78" i="4"/>
  <c r="BT78" i="4"/>
  <c r="BU78" i="4"/>
  <c r="BV78" i="4"/>
  <c r="BW78" i="4"/>
  <c r="BZ78" i="4"/>
  <c r="CI78" i="4"/>
  <c r="DA78" i="4"/>
  <c r="DB78" i="4"/>
  <c r="DD78" i="4"/>
  <c r="DG78" i="4"/>
  <c r="DH78" i="4"/>
  <c r="DJ78" i="4"/>
  <c r="DK78" i="4"/>
  <c r="DL78" i="4"/>
  <c r="DM78" i="4"/>
  <c r="DN78" i="4"/>
  <c r="DO78" i="4"/>
  <c r="DP78" i="4"/>
  <c r="DR78" i="4"/>
  <c r="AG79" i="4"/>
  <c r="BD79" i="4"/>
  <c r="AJ79" i="4" s="1"/>
  <c r="BG79" i="4"/>
  <c r="BH79" i="4"/>
  <c r="BJ79" i="4"/>
  <c r="BL79" i="4"/>
  <c r="BM79" i="4"/>
  <c r="BO79" i="4"/>
  <c r="BP79" i="4"/>
  <c r="BQ79" i="4"/>
  <c r="BR79" i="4"/>
  <c r="BS79" i="4"/>
  <c r="BT79" i="4"/>
  <c r="BU79" i="4"/>
  <c r="BV79" i="4"/>
  <c r="BW79" i="4"/>
  <c r="BW195" i="4" s="1"/>
  <c r="BZ79" i="4"/>
  <c r="CV79" i="4"/>
  <c r="CB79" i="4" s="1"/>
  <c r="DB79" i="4"/>
  <c r="DD79" i="4"/>
  <c r="DE79" i="4"/>
  <c r="DG79" i="4"/>
  <c r="DH79" i="4"/>
  <c r="DJ79" i="4"/>
  <c r="DK79" i="4"/>
  <c r="DL79" i="4"/>
  <c r="DM79" i="4"/>
  <c r="DN79" i="4"/>
  <c r="DO79" i="4"/>
  <c r="DP79" i="4"/>
  <c r="M80" i="4"/>
  <c r="AG80" i="4"/>
  <c r="BD80" i="4"/>
  <c r="AJ80" i="4" s="1"/>
  <c r="AI80" i="4" s="1"/>
  <c r="BE80" i="4" s="1"/>
  <c r="BG80" i="4"/>
  <c r="BH80" i="4"/>
  <c r="BJ80" i="4"/>
  <c r="BL80" i="4"/>
  <c r="BM80" i="4"/>
  <c r="BO80" i="4"/>
  <c r="BP80" i="4"/>
  <c r="BR80" i="4"/>
  <c r="BS80" i="4"/>
  <c r="BT80" i="4"/>
  <c r="BU80" i="4"/>
  <c r="BV80" i="4"/>
  <c r="BW80" i="4"/>
  <c r="CV80" i="4"/>
  <c r="DB80" i="4"/>
  <c r="DD80" i="4"/>
  <c r="DE80" i="4"/>
  <c r="DG80" i="4"/>
  <c r="DH80" i="4"/>
  <c r="DJ80" i="4"/>
  <c r="DK80" i="4"/>
  <c r="DL80" i="4"/>
  <c r="DM80" i="4"/>
  <c r="DN80" i="4"/>
  <c r="DO80" i="4"/>
  <c r="DP80" i="4"/>
  <c r="T81" i="4"/>
  <c r="AJ81" i="4"/>
  <c r="AQ81" i="4"/>
  <c r="BG81" i="4"/>
  <c r="BH81" i="4"/>
  <c r="BJ81" i="4"/>
  <c r="BL81" i="4"/>
  <c r="BO81" i="4"/>
  <c r="BP81" i="4"/>
  <c r="BQ81" i="4"/>
  <c r="BR81" i="4"/>
  <c r="BS81" i="4"/>
  <c r="BT81" i="4"/>
  <c r="BU81" i="4"/>
  <c r="BV81" i="4"/>
  <c r="BW81" i="4"/>
  <c r="BX81" i="4"/>
  <c r="BZ81" i="4"/>
  <c r="CI81" i="4"/>
  <c r="CB81" i="4" s="1"/>
  <c r="H81" i="4" s="1"/>
  <c r="DB81" i="4"/>
  <c r="DD81" i="4"/>
  <c r="DG81" i="4"/>
  <c r="DH81" i="4"/>
  <c r="DJ81" i="4"/>
  <c r="DK81" i="4"/>
  <c r="DL81" i="4"/>
  <c r="DM81" i="4"/>
  <c r="DN81" i="4"/>
  <c r="DO81" i="4"/>
  <c r="DP81" i="4"/>
  <c r="DR81" i="4"/>
  <c r="M82" i="4"/>
  <c r="AG82" i="4"/>
  <c r="BD82" i="4"/>
  <c r="BZ82" i="4" s="1"/>
  <c r="BG82" i="4"/>
  <c r="BH82" i="4"/>
  <c r="BJ82" i="4"/>
  <c r="BL82" i="4"/>
  <c r="BM82" i="4"/>
  <c r="BO82" i="4"/>
  <c r="BP82" i="4"/>
  <c r="BQ82" i="4"/>
  <c r="BR82" i="4"/>
  <c r="BS82" i="4"/>
  <c r="BT82" i="4"/>
  <c r="BU82" i="4"/>
  <c r="BV82" i="4"/>
  <c r="BW82" i="4"/>
  <c r="CV82" i="4"/>
  <c r="CB82" i="4" s="1"/>
  <c r="DB82" i="4"/>
  <c r="DD82" i="4"/>
  <c r="DE82" i="4"/>
  <c r="DG82" i="4"/>
  <c r="DH82" i="4"/>
  <c r="DJ82" i="4"/>
  <c r="DK82" i="4"/>
  <c r="DL82" i="4"/>
  <c r="DM82" i="4"/>
  <c r="DN82" i="4"/>
  <c r="DO82" i="4"/>
  <c r="DP82" i="4"/>
  <c r="O83" i="4"/>
  <c r="AQ83" i="4"/>
  <c r="BG83" i="4"/>
  <c r="BJ83" i="4"/>
  <c r="BL83" i="4"/>
  <c r="BO83" i="4"/>
  <c r="BP83" i="4"/>
  <c r="BQ83" i="4"/>
  <c r="BR83" i="4"/>
  <c r="BS83" i="4"/>
  <c r="BT83" i="4"/>
  <c r="BU83" i="4"/>
  <c r="BV83" i="4"/>
  <c r="BW83" i="4"/>
  <c r="BZ83" i="4"/>
  <c r="CI83" i="4"/>
  <c r="CB83" i="4" s="1"/>
  <c r="DA83" i="4"/>
  <c r="DB83" i="4"/>
  <c r="DD83" i="4"/>
  <c r="DG83" i="4"/>
  <c r="DH83" i="4"/>
  <c r="DJ83" i="4"/>
  <c r="DK83" i="4"/>
  <c r="DL83" i="4"/>
  <c r="DM83" i="4"/>
  <c r="DN83" i="4"/>
  <c r="DO83" i="4"/>
  <c r="DP83" i="4"/>
  <c r="DR83" i="4"/>
  <c r="M84" i="4"/>
  <c r="O84" i="4"/>
  <c r="T84" i="4"/>
  <c r="AQ84" i="4"/>
  <c r="BG84" i="4"/>
  <c r="BJ84" i="4"/>
  <c r="BL84" i="4"/>
  <c r="BO84" i="4"/>
  <c r="BP84" i="4"/>
  <c r="BQ84" i="4"/>
  <c r="BR84" i="4"/>
  <c r="BR196" i="4" s="1"/>
  <c r="BS84" i="4"/>
  <c r="BT84" i="4"/>
  <c r="BU84" i="4"/>
  <c r="BV84" i="4"/>
  <c r="BW84" i="4"/>
  <c r="BZ84" i="4"/>
  <c r="CI84" i="4"/>
  <c r="DA84" i="4"/>
  <c r="DB84" i="4"/>
  <c r="DD84" i="4"/>
  <c r="DG84" i="4"/>
  <c r="DH84" i="4"/>
  <c r="DJ84" i="4"/>
  <c r="DK84" i="4"/>
  <c r="DL84" i="4"/>
  <c r="DM84" i="4"/>
  <c r="DN84" i="4"/>
  <c r="DO84" i="4"/>
  <c r="DP84" i="4"/>
  <c r="DR84" i="4"/>
  <c r="AG85" i="4"/>
  <c r="BD85" i="4"/>
  <c r="BZ85" i="4" s="1"/>
  <c r="BG85" i="4"/>
  <c r="BH85" i="4"/>
  <c r="BJ85" i="4"/>
  <c r="BL85" i="4"/>
  <c r="BM85" i="4"/>
  <c r="BO85" i="4"/>
  <c r="BP85" i="4"/>
  <c r="BR85" i="4"/>
  <c r="BS85" i="4"/>
  <c r="BT85" i="4"/>
  <c r="BU85" i="4"/>
  <c r="BV85" i="4"/>
  <c r="BW85" i="4"/>
  <c r="CV85" i="4"/>
  <c r="CB85" i="4" s="1"/>
  <c r="DB85" i="4"/>
  <c r="DD85" i="4"/>
  <c r="DE85" i="4"/>
  <c r="DG85" i="4"/>
  <c r="DH85" i="4"/>
  <c r="DJ85" i="4"/>
  <c r="DK85" i="4"/>
  <c r="DL85" i="4"/>
  <c r="DM85" i="4"/>
  <c r="DN85" i="4"/>
  <c r="DO85" i="4"/>
  <c r="DP85" i="4"/>
  <c r="M86" i="4"/>
  <c r="AG86" i="4"/>
  <c r="BD86" i="4"/>
  <c r="BG86" i="4"/>
  <c r="BH86" i="4"/>
  <c r="BJ86" i="4"/>
  <c r="BL86" i="4"/>
  <c r="BM86" i="4"/>
  <c r="BO86" i="4"/>
  <c r="BP86" i="4"/>
  <c r="BR86" i="4"/>
  <c r="BS86" i="4"/>
  <c r="BT86" i="4"/>
  <c r="BU86" i="4"/>
  <c r="BV86" i="4"/>
  <c r="BW86" i="4"/>
  <c r="CV86" i="4"/>
  <c r="DB86" i="4"/>
  <c r="DD86" i="4"/>
  <c r="DE86" i="4"/>
  <c r="DG86" i="4"/>
  <c r="DH86" i="4"/>
  <c r="DJ86" i="4"/>
  <c r="DK86" i="4"/>
  <c r="DL86" i="4"/>
  <c r="DM86" i="4"/>
  <c r="DN86" i="4"/>
  <c r="DO86" i="4"/>
  <c r="DP86" i="4"/>
  <c r="Z87" i="4"/>
  <c r="AW87" i="4"/>
  <c r="AJ87" i="4" s="1"/>
  <c r="BG87" i="4"/>
  <c r="BH87" i="4"/>
  <c r="BJ87" i="4"/>
  <c r="BL87" i="4"/>
  <c r="BM87" i="4"/>
  <c r="BO87" i="4"/>
  <c r="BP87" i="4"/>
  <c r="BR87" i="4"/>
  <c r="BT87" i="4"/>
  <c r="BU87" i="4"/>
  <c r="BV87" i="4"/>
  <c r="BV196" i="4" s="1"/>
  <c r="BW87" i="4"/>
  <c r="BZ87" i="4"/>
  <c r="CB87" i="4"/>
  <c r="CO87" i="4"/>
  <c r="DB87" i="4"/>
  <c r="DD87" i="4"/>
  <c r="DE87" i="4"/>
  <c r="DG87" i="4"/>
  <c r="DH87" i="4"/>
  <c r="DJ87" i="4"/>
  <c r="DL87" i="4"/>
  <c r="DM87" i="4"/>
  <c r="DN87" i="4"/>
  <c r="DO87" i="4"/>
  <c r="DP87" i="4"/>
  <c r="DR87" i="4"/>
  <c r="H88" i="4"/>
  <c r="O88" i="4"/>
  <c r="M88" i="4" s="1"/>
  <c r="AQ88" i="4"/>
  <c r="AJ88" i="4" s="1"/>
  <c r="BG88" i="4"/>
  <c r="BJ88" i="4"/>
  <c r="BL88" i="4"/>
  <c r="BO88" i="4"/>
  <c r="BP88" i="4"/>
  <c r="BR88" i="4"/>
  <c r="BS88" i="4"/>
  <c r="BT88" i="4"/>
  <c r="BU88" i="4"/>
  <c r="BV88" i="4"/>
  <c r="BW88" i="4"/>
  <c r="BZ88" i="4"/>
  <c r="CB88" i="4"/>
  <c r="DA88" i="4"/>
  <c r="DB88" i="4"/>
  <c r="DD88" i="4"/>
  <c r="DE88" i="4"/>
  <c r="DG88" i="4"/>
  <c r="DH88" i="4"/>
  <c r="DJ88" i="4"/>
  <c r="DK88" i="4"/>
  <c r="DL88" i="4"/>
  <c r="DM88" i="4"/>
  <c r="DN88" i="4"/>
  <c r="DO88" i="4"/>
  <c r="DP88" i="4"/>
  <c r="DR88" i="4"/>
  <c r="M89" i="4"/>
  <c r="Q89" i="4"/>
  <c r="AP89" i="4"/>
  <c r="AY89" i="4"/>
  <c r="BU89" i="4" s="1"/>
  <c r="BG89" i="4"/>
  <c r="BH89" i="4"/>
  <c r="BJ89" i="4"/>
  <c r="BL89" i="4"/>
  <c r="BM89" i="4"/>
  <c r="BO89" i="4"/>
  <c r="BP89" i="4"/>
  <c r="BR89" i="4"/>
  <c r="BS89" i="4"/>
  <c r="BT89" i="4"/>
  <c r="BV89" i="4"/>
  <c r="BW89" i="4"/>
  <c r="BZ89" i="4"/>
  <c r="CB89" i="4"/>
  <c r="CA89" i="4" s="1"/>
  <c r="CW89" i="4" s="1"/>
  <c r="DB89" i="4"/>
  <c r="DD89" i="4"/>
  <c r="DE89" i="4"/>
  <c r="DG89" i="4"/>
  <c r="DH89" i="4"/>
  <c r="DJ89" i="4"/>
  <c r="DK89" i="4"/>
  <c r="DL89" i="4"/>
  <c r="DM89" i="4"/>
  <c r="DN89" i="4"/>
  <c r="DO89" i="4"/>
  <c r="DP89" i="4"/>
  <c r="DR89" i="4"/>
  <c r="M90" i="4"/>
  <c r="AN90" i="4"/>
  <c r="AY90" i="4"/>
  <c r="BU90" i="4" s="1"/>
  <c r="BG90" i="4"/>
  <c r="BH90" i="4"/>
  <c r="BL90" i="4"/>
  <c r="BM90" i="4"/>
  <c r="BO90" i="4"/>
  <c r="BP90" i="4"/>
  <c r="BR90" i="4"/>
  <c r="BS90" i="4"/>
  <c r="BT90" i="4"/>
  <c r="BV90" i="4"/>
  <c r="BW90" i="4"/>
  <c r="BZ90" i="4"/>
  <c r="CF90" i="4"/>
  <c r="DB90" i="4" s="1"/>
  <c r="CQ90" i="4"/>
  <c r="DD90" i="4"/>
  <c r="DE90" i="4"/>
  <c r="DG90" i="4"/>
  <c r="DH90" i="4"/>
  <c r="DJ90" i="4"/>
  <c r="DK90" i="4"/>
  <c r="DL90" i="4"/>
  <c r="DN90" i="4"/>
  <c r="DO90" i="4"/>
  <c r="DP90" i="4"/>
  <c r="DR90" i="4"/>
  <c r="T91" i="4"/>
  <c r="AQ91" i="4"/>
  <c r="AJ91" i="4" s="1"/>
  <c r="BG91" i="4"/>
  <c r="BH91" i="4"/>
  <c r="BJ91" i="4"/>
  <c r="BL91" i="4"/>
  <c r="BO91" i="4"/>
  <c r="BP91" i="4"/>
  <c r="BR91" i="4"/>
  <c r="BS91" i="4"/>
  <c r="BT91" i="4"/>
  <c r="BU91" i="4"/>
  <c r="BV91" i="4"/>
  <c r="BW91" i="4"/>
  <c r="BZ91" i="4"/>
  <c r="CI91" i="4"/>
  <c r="CB91" i="4" s="1"/>
  <c r="DB91" i="4"/>
  <c r="DD91" i="4"/>
  <c r="DG91" i="4"/>
  <c r="DH91" i="4"/>
  <c r="DJ91" i="4"/>
  <c r="DK91" i="4"/>
  <c r="DL91" i="4"/>
  <c r="DM91" i="4"/>
  <c r="DN91" i="4"/>
  <c r="DO91" i="4"/>
  <c r="DP91" i="4"/>
  <c r="DR91" i="4"/>
  <c r="M92" i="4"/>
  <c r="T92" i="4"/>
  <c r="AN92" i="4"/>
  <c r="AP92" i="4"/>
  <c r="BL92" i="4" s="1"/>
  <c r="BG92" i="4"/>
  <c r="BH92" i="4"/>
  <c r="BJ92" i="4"/>
  <c r="BM92" i="4"/>
  <c r="BO92" i="4"/>
  <c r="BP92" i="4"/>
  <c r="BR92" i="4"/>
  <c r="BS92" i="4"/>
  <c r="BT92" i="4"/>
  <c r="BU92" i="4"/>
  <c r="BV92" i="4"/>
  <c r="BW92" i="4"/>
  <c r="BZ92" i="4"/>
  <c r="CH92" i="4"/>
  <c r="DD92" i="4" s="1"/>
  <c r="DB92" i="4"/>
  <c r="DE92" i="4"/>
  <c r="DG92" i="4"/>
  <c r="DH92" i="4"/>
  <c r="DJ92" i="4"/>
  <c r="DK92" i="4"/>
  <c r="DL92" i="4"/>
  <c r="DM92" i="4"/>
  <c r="DN92" i="4"/>
  <c r="DO92" i="4"/>
  <c r="DP92" i="4"/>
  <c r="DR92" i="4"/>
  <c r="M93" i="4"/>
  <c r="AP93" i="4"/>
  <c r="BL93" i="4" s="1"/>
  <c r="BG93" i="4"/>
  <c r="BH93" i="4"/>
  <c r="BJ93" i="4"/>
  <c r="BM93" i="4"/>
  <c r="BO93" i="4"/>
  <c r="BP93" i="4"/>
  <c r="BR93" i="4"/>
  <c r="BS93" i="4"/>
  <c r="BT93" i="4"/>
  <c r="BU93" i="4"/>
  <c r="BV93" i="4"/>
  <c r="BW93" i="4"/>
  <c r="BZ93" i="4"/>
  <c r="CH93" i="4"/>
  <c r="DD93" i="4" s="1"/>
  <c r="DB93" i="4"/>
  <c r="DE93" i="4"/>
  <c r="DG93" i="4"/>
  <c r="DH93" i="4"/>
  <c r="DJ93" i="4"/>
  <c r="DK93" i="4"/>
  <c r="DL93" i="4"/>
  <c r="DM93" i="4"/>
  <c r="DN93" i="4"/>
  <c r="DO93" i="4"/>
  <c r="DP93" i="4"/>
  <c r="DR93" i="4"/>
  <c r="H94" i="4"/>
  <c r="M94" i="4"/>
  <c r="AJ94" i="4"/>
  <c r="AI94" i="4" s="1"/>
  <c r="BE94" i="4" s="1"/>
  <c r="AP94" i="4"/>
  <c r="BL94" i="4" s="1"/>
  <c r="BG94" i="4"/>
  <c r="BH94" i="4"/>
  <c r="BJ94" i="4"/>
  <c r="BM94" i="4"/>
  <c r="BO94" i="4"/>
  <c r="BP94" i="4"/>
  <c r="BR94" i="4"/>
  <c r="BS94" i="4"/>
  <c r="BT94" i="4"/>
  <c r="BU94" i="4"/>
  <c r="BV94" i="4"/>
  <c r="BW94" i="4"/>
  <c r="BZ94" i="4"/>
  <c r="CA94" i="4"/>
  <c r="CB94" i="4"/>
  <c r="CW94" i="4"/>
  <c r="DB94" i="4"/>
  <c r="DD94" i="4"/>
  <c r="DE94" i="4"/>
  <c r="DG94" i="4"/>
  <c r="DH94" i="4"/>
  <c r="DJ94" i="4"/>
  <c r="DK94" i="4"/>
  <c r="DL94" i="4"/>
  <c r="DM94" i="4"/>
  <c r="DN94" i="4"/>
  <c r="DO94" i="4"/>
  <c r="DP94" i="4"/>
  <c r="DR94" i="4"/>
  <c r="H95" i="4"/>
  <c r="O95" i="4"/>
  <c r="S95" i="4"/>
  <c r="DD95" i="4" s="1"/>
  <c r="AP95" i="4"/>
  <c r="AJ95" i="4" s="1"/>
  <c r="BG95" i="4"/>
  <c r="BH95" i="4"/>
  <c r="BJ95" i="4"/>
  <c r="BM95" i="4"/>
  <c r="BO95" i="4"/>
  <c r="BP95" i="4"/>
  <c r="BR95" i="4"/>
  <c r="BS95" i="4"/>
  <c r="BT95" i="4"/>
  <c r="BU95" i="4"/>
  <c r="BV95" i="4"/>
  <c r="BW95" i="4"/>
  <c r="BZ95" i="4"/>
  <c r="CB95" i="4"/>
  <c r="CZ95" i="4"/>
  <c r="DA95" i="4"/>
  <c r="DB95" i="4"/>
  <c r="DE95" i="4"/>
  <c r="DG95" i="4"/>
  <c r="DH95" i="4"/>
  <c r="DJ95" i="4"/>
  <c r="DK95" i="4"/>
  <c r="DL95" i="4"/>
  <c r="DM95" i="4"/>
  <c r="DN95" i="4"/>
  <c r="DO95" i="4"/>
  <c r="DP95" i="4"/>
  <c r="DR95" i="4"/>
  <c r="M96" i="4"/>
  <c r="O96" i="4"/>
  <c r="AJ96" i="4"/>
  <c r="AI96" i="4" s="1"/>
  <c r="BE96" i="4" s="1"/>
  <c r="AP96" i="4"/>
  <c r="BL96" i="4" s="1"/>
  <c r="BG96" i="4"/>
  <c r="BH96" i="4"/>
  <c r="BJ96" i="4"/>
  <c r="BM96" i="4"/>
  <c r="BO96" i="4"/>
  <c r="BO196" i="4" s="1"/>
  <c r="BP96" i="4"/>
  <c r="BR96" i="4"/>
  <c r="BS96" i="4"/>
  <c r="BT96" i="4"/>
  <c r="BU96" i="4"/>
  <c r="BV96" i="4"/>
  <c r="BW96" i="4"/>
  <c r="BZ96" i="4"/>
  <c r="CH96" i="4"/>
  <c r="DD96" i="4" s="1"/>
  <c r="CZ96" i="4"/>
  <c r="DA96" i="4"/>
  <c r="DB96" i="4"/>
  <c r="DE96" i="4"/>
  <c r="DG96" i="4"/>
  <c r="DH96" i="4"/>
  <c r="DJ96" i="4"/>
  <c r="DK96" i="4"/>
  <c r="DL96" i="4"/>
  <c r="DM96" i="4"/>
  <c r="DN96" i="4"/>
  <c r="DO96" i="4"/>
  <c r="DP96" i="4"/>
  <c r="DR96" i="4"/>
  <c r="S97" i="4"/>
  <c r="AJ97" i="4"/>
  <c r="AP97" i="4"/>
  <c r="BG97" i="4"/>
  <c r="BH97" i="4"/>
  <c r="BJ97" i="4"/>
  <c r="BM97" i="4"/>
  <c r="BO97" i="4"/>
  <c r="BP97" i="4"/>
  <c r="BR97" i="4"/>
  <c r="BS97" i="4"/>
  <c r="BT97" i="4"/>
  <c r="BU97" i="4"/>
  <c r="BV97" i="4"/>
  <c r="BW97" i="4"/>
  <c r="BZ97" i="4"/>
  <c r="CB97" i="4"/>
  <c r="H97" i="4" s="1"/>
  <c r="DB97" i="4"/>
  <c r="DE97" i="4"/>
  <c r="DG97" i="4"/>
  <c r="DH97" i="4"/>
  <c r="DJ97" i="4"/>
  <c r="DK97" i="4"/>
  <c r="DL97" i="4"/>
  <c r="DM97" i="4"/>
  <c r="DN97" i="4"/>
  <c r="DO97" i="4"/>
  <c r="DP97" i="4"/>
  <c r="DR97" i="4"/>
  <c r="O98" i="4"/>
  <c r="S98" i="4"/>
  <c r="AP98" i="4"/>
  <c r="AJ98" i="4" s="1"/>
  <c r="BG98" i="4"/>
  <c r="BJ98" i="4"/>
  <c r="BL98" i="4"/>
  <c r="BM98" i="4"/>
  <c r="BO98" i="4"/>
  <c r="BP98" i="4"/>
  <c r="BR98" i="4"/>
  <c r="BS98" i="4"/>
  <c r="BT98" i="4"/>
  <c r="BU98" i="4"/>
  <c r="BV98" i="4"/>
  <c r="BW98" i="4"/>
  <c r="BZ98" i="4"/>
  <c r="CH98" i="4"/>
  <c r="DD98" i="4" s="1"/>
  <c r="DA98" i="4"/>
  <c r="DB98" i="4"/>
  <c r="DE98" i="4"/>
  <c r="DG98" i="4"/>
  <c r="DH98" i="4"/>
  <c r="DJ98" i="4"/>
  <c r="DK98" i="4"/>
  <c r="DL98" i="4"/>
  <c r="DM98" i="4"/>
  <c r="DN98" i="4"/>
  <c r="DO98" i="4"/>
  <c r="DP98" i="4"/>
  <c r="DR98" i="4"/>
  <c r="I99" i="4"/>
  <c r="M99" i="4"/>
  <c r="S99" i="4"/>
  <c r="AB99" i="4"/>
  <c r="AP99" i="4"/>
  <c r="AY99" i="4"/>
  <c r="BU99" i="4" s="1"/>
  <c r="BG99" i="4"/>
  <c r="BH99" i="4"/>
  <c r="BJ99" i="4"/>
  <c r="BM99" i="4"/>
  <c r="BO99" i="4"/>
  <c r="BP99" i="4"/>
  <c r="BR99" i="4"/>
  <c r="BS99" i="4"/>
  <c r="BT99" i="4"/>
  <c r="BV99" i="4"/>
  <c r="BW99" i="4"/>
  <c r="BZ99" i="4"/>
  <c r="CA99" i="4"/>
  <c r="CB99" i="4"/>
  <c r="H99" i="4" s="1"/>
  <c r="CW99" i="4"/>
  <c r="DB99" i="4"/>
  <c r="DD99" i="4"/>
  <c r="DE99" i="4"/>
  <c r="DG99" i="4"/>
  <c r="DH99" i="4"/>
  <c r="DJ99" i="4"/>
  <c r="DK99" i="4"/>
  <c r="DL99" i="4"/>
  <c r="DM99" i="4"/>
  <c r="DN99" i="4"/>
  <c r="DO99" i="4"/>
  <c r="DP99" i="4"/>
  <c r="DR99" i="4"/>
  <c r="Q100" i="4"/>
  <c r="S100" i="4"/>
  <c r="AP100" i="4"/>
  <c r="BL100" i="4" s="1"/>
  <c r="AY100" i="4"/>
  <c r="BG100" i="4"/>
  <c r="BH100" i="4"/>
  <c r="BJ100" i="4"/>
  <c r="BK100" i="4"/>
  <c r="BM100" i="4"/>
  <c r="BO100" i="4"/>
  <c r="BP100" i="4"/>
  <c r="BR100" i="4"/>
  <c r="BS100" i="4"/>
  <c r="BT100" i="4"/>
  <c r="BV100" i="4"/>
  <c r="BW100" i="4"/>
  <c r="BZ100" i="4"/>
  <c r="CH100" i="4"/>
  <c r="CQ100" i="4"/>
  <c r="DM100" i="4" s="1"/>
  <c r="DB100" i="4"/>
  <c r="DC100" i="4"/>
  <c r="DE100" i="4"/>
  <c r="DG100" i="4"/>
  <c r="DH100" i="4"/>
  <c r="DJ100" i="4"/>
  <c r="DK100" i="4"/>
  <c r="DL100" i="4"/>
  <c r="DN100" i="4"/>
  <c r="DO100" i="4"/>
  <c r="DP100" i="4"/>
  <c r="DR100" i="4"/>
  <c r="M101" i="4"/>
  <c r="Q101" i="4"/>
  <c r="S101" i="4"/>
  <c r="AN101" i="4"/>
  <c r="AP101" i="4"/>
  <c r="BG101" i="4"/>
  <c r="BH101" i="4"/>
  <c r="BL101" i="4"/>
  <c r="BM101" i="4"/>
  <c r="BO101" i="4"/>
  <c r="BP101" i="4"/>
  <c r="BR101" i="4"/>
  <c r="BS101" i="4"/>
  <c r="BT101" i="4"/>
  <c r="BU101" i="4"/>
  <c r="BV101" i="4"/>
  <c r="BW101" i="4"/>
  <c r="BZ101" i="4"/>
  <c r="CH101" i="4"/>
  <c r="DD101" i="4" s="1"/>
  <c r="DB101" i="4"/>
  <c r="DE101" i="4"/>
  <c r="DG101" i="4"/>
  <c r="DH101" i="4"/>
  <c r="DJ101" i="4"/>
  <c r="DK101" i="4"/>
  <c r="DL101" i="4"/>
  <c r="DM101" i="4"/>
  <c r="DN101" i="4"/>
  <c r="DO101" i="4"/>
  <c r="DP101" i="4"/>
  <c r="DR101" i="4"/>
  <c r="AG102" i="4"/>
  <c r="M102" i="4" s="1"/>
  <c r="BD102" i="4"/>
  <c r="BG102" i="4"/>
  <c r="BH102" i="4"/>
  <c r="BJ102" i="4"/>
  <c r="BL102" i="4"/>
  <c r="BM102" i="4"/>
  <c r="BO102" i="4"/>
  <c r="BP102" i="4"/>
  <c r="BR102" i="4"/>
  <c r="BS102" i="4"/>
  <c r="BT102" i="4"/>
  <c r="BU102" i="4"/>
  <c r="BV102" i="4"/>
  <c r="BW102" i="4"/>
  <c r="CB102" i="4"/>
  <c r="CV102" i="4"/>
  <c r="DB102" i="4"/>
  <c r="DD102" i="4"/>
  <c r="DE102" i="4"/>
  <c r="DG102" i="4"/>
  <c r="DH102" i="4"/>
  <c r="DJ102" i="4"/>
  <c r="DK102" i="4"/>
  <c r="DL102" i="4"/>
  <c r="DM102" i="4"/>
  <c r="DN102" i="4"/>
  <c r="DO102" i="4"/>
  <c r="DP102" i="4"/>
  <c r="DR102" i="4"/>
  <c r="G103" i="4"/>
  <c r="N103" i="4"/>
  <c r="P103" i="4"/>
  <c r="Q103" i="4"/>
  <c r="R103" i="4"/>
  <c r="U103" i="4"/>
  <c r="V103" i="4"/>
  <c r="W103" i="4"/>
  <c r="X103" i="4"/>
  <c r="Y103" i="4"/>
  <c r="AA103" i="4"/>
  <c r="AB103" i="4"/>
  <c r="AC103" i="4"/>
  <c r="AD103" i="4"/>
  <c r="AE103" i="4"/>
  <c r="AF103" i="4"/>
  <c r="AK103" i="4"/>
  <c r="AL103" i="4"/>
  <c r="AR103" i="4"/>
  <c r="AS103" i="4"/>
  <c r="AT103" i="4"/>
  <c r="AU103" i="4"/>
  <c r="AV103" i="4"/>
  <c r="AW103" i="4"/>
  <c r="AW189" i="4" s="1"/>
  <c r="AX103" i="4"/>
  <c r="AZ103" i="4"/>
  <c r="BA103" i="4"/>
  <c r="BB103" i="4"/>
  <c r="BC103" i="4"/>
  <c r="BI103" i="4"/>
  <c r="BK103" i="4"/>
  <c r="BN103" i="4"/>
  <c r="BX103" i="4"/>
  <c r="BY103" i="4"/>
  <c r="CC103" i="4"/>
  <c r="CD103" i="4"/>
  <c r="CF103" i="4"/>
  <c r="CK103" i="4"/>
  <c r="CL103" i="4"/>
  <c r="CM103" i="4"/>
  <c r="CN103" i="4"/>
  <c r="CO103" i="4"/>
  <c r="CP103" i="4"/>
  <c r="CR103" i="4"/>
  <c r="CS103" i="4"/>
  <c r="CT103" i="4"/>
  <c r="CU103" i="4"/>
  <c r="CY103" i="4"/>
  <c r="DC103" i="4"/>
  <c r="DF103" i="4"/>
  <c r="DI103" i="4"/>
  <c r="DQ103" i="4"/>
  <c r="O105" i="4"/>
  <c r="O198" i="4" s="1"/>
  <c r="BA105" i="4"/>
  <c r="BG105" i="4"/>
  <c r="BJ105" i="4"/>
  <c r="BL105" i="4"/>
  <c r="BM105" i="4"/>
  <c r="BR105" i="4"/>
  <c r="BS105" i="4"/>
  <c r="BT105" i="4"/>
  <c r="BU105" i="4"/>
  <c r="BV105" i="4"/>
  <c r="BZ105" i="4"/>
  <c r="CS105" i="4"/>
  <c r="CB105" i="4" s="1"/>
  <c r="H105" i="4" s="1"/>
  <c r="CY105" i="4"/>
  <c r="DA105" i="4"/>
  <c r="DB105" i="4"/>
  <c r="DD105" i="4"/>
  <c r="DE105" i="4"/>
  <c r="DG105" i="4"/>
  <c r="DH105" i="4"/>
  <c r="DJ105" i="4"/>
  <c r="DK105" i="4"/>
  <c r="DL105" i="4"/>
  <c r="DM105" i="4"/>
  <c r="DN105" i="4"/>
  <c r="DP105" i="4"/>
  <c r="DR105" i="4"/>
  <c r="M106" i="4"/>
  <c r="BA106" i="4"/>
  <c r="BG106" i="4"/>
  <c r="BH106" i="4"/>
  <c r="BJ106" i="4"/>
  <c r="BL106" i="4"/>
  <c r="BM106" i="4"/>
  <c r="BR106" i="4"/>
  <c r="BS106" i="4"/>
  <c r="BT106" i="4"/>
  <c r="BU106" i="4"/>
  <c r="BV106" i="4"/>
  <c r="BW106" i="4"/>
  <c r="BZ106" i="4"/>
  <c r="CS106" i="4"/>
  <c r="CY106" i="4"/>
  <c r="DB106" i="4"/>
  <c r="DD106" i="4"/>
  <c r="DE106" i="4"/>
  <c r="DG106" i="4"/>
  <c r="DH106" i="4"/>
  <c r="DJ106" i="4"/>
  <c r="DK106" i="4"/>
  <c r="DL106" i="4"/>
  <c r="DM106" i="4"/>
  <c r="DN106" i="4"/>
  <c r="DP106" i="4"/>
  <c r="DR106" i="4"/>
  <c r="M107" i="4"/>
  <c r="AJ107" i="4"/>
  <c r="BA107" i="4"/>
  <c r="BG107" i="4"/>
  <c r="BH107" i="4"/>
  <c r="BJ107" i="4"/>
  <c r="BL107" i="4"/>
  <c r="BM107" i="4"/>
  <c r="BR107" i="4"/>
  <c r="BS107" i="4"/>
  <c r="BT107" i="4"/>
  <c r="BU107" i="4"/>
  <c r="BV107" i="4"/>
  <c r="BW107" i="4"/>
  <c r="BZ107" i="4"/>
  <c r="CS107" i="4"/>
  <c r="CB107" i="4" s="1"/>
  <c r="CA107" i="4" s="1"/>
  <c r="CW107" i="4" s="1"/>
  <c r="CY107" i="4"/>
  <c r="DB107" i="4"/>
  <c r="DD107" i="4"/>
  <c r="DD121" i="4" s="1"/>
  <c r="DE107" i="4"/>
  <c r="DG107" i="4"/>
  <c r="DH107" i="4"/>
  <c r="DJ107" i="4"/>
  <c r="DK107" i="4"/>
  <c r="DL107" i="4"/>
  <c r="DM107" i="4"/>
  <c r="DN107" i="4"/>
  <c r="DP107" i="4"/>
  <c r="DR107" i="4"/>
  <c r="AG108" i="4"/>
  <c r="BD108" i="4"/>
  <c r="AJ108" i="4" s="1"/>
  <c r="BG108" i="4"/>
  <c r="BH108" i="4"/>
  <c r="BJ108" i="4"/>
  <c r="BL108" i="4"/>
  <c r="BM108" i="4"/>
  <c r="BO108" i="4"/>
  <c r="BP108" i="4"/>
  <c r="BQ108" i="4"/>
  <c r="BR108" i="4"/>
  <c r="BS108" i="4"/>
  <c r="BT108" i="4"/>
  <c r="BU108" i="4"/>
  <c r="BV108" i="4"/>
  <c r="BW108" i="4"/>
  <c r="CV108" i="4"/>
  <c r="CB108" i="4" s="1"/>
  <c r="H108" i="4" s="1"/>
  <c r="CY108" i="4"/>
  <c r="DB108" i="4"/>
  <c r="DD108" i="4"/>
  <c r="DE108" i="4"/>
  <c r="DG108" i="4"/>
  <c r="DH108" i="4"/>
  <c r="DJ108" i="4"/>
  <c r="DK108" i="4"/>
  <c r="DL108" i="4"/>
  <c r="DM108" i="4"/>
  <c r="DN108" i="4"/>
  <c r="DO108" i="4"/>
  <c r="DP108" i="4"/>
  <c r="H109" i="4"/>
  <c r="M109" i="4"/>
  <c r="AJ109" i="4"/>
  <c r="BG109" i="4"/>
  <c r="BH109" i="4"/>
  <c r="BJ109" i="4"/>
  <c r="BL109" i="4"/>
  <c r="BM109" i="4"/>
  <c r="BO109" i="4"/>
  <c r="BO121" i="4" s="1"/>
  <c r="BP109" i="4"/>
  <c r="BQ109" i="4"/>
  <c r="BR109" i="4"/>
  <c r="BS109" i="4"/>
  <c r="BS198" i="4" s="1"/>
  <c r="BT109" i="4"/>
  <c r="BU109" i="4"/>
  <c r="BV109" i="4"/>
  <c r="BW109" i="4"/>
  <c r="BZ109" i="4"/>
  <c r="CB109" i="4"/>
  <c r="CY109" i="4"/>
  <c r="DB109" i="4"/>
  <c r="DD109" i="4"/>
  <c r="DE109" i="4"/>
  <c r="DG109" i="4"/>
  <c r="DH109" i="4"/>
  <c r="DJ109" i="4"/>
  <c r="DK109" i="4"/>
  <c r="CX109" i="4" s="1"/>
  <c r="DL109" i="4"/>
  <c r="DM109" i="4"/>
  <c r="DN109" i="4"/>
  <c r="DO109" i="4"/>
  <c r="DP109" i="4"/>
  <c r="DR109" i="4"/>
  <c r="H110" i="4"/>
  <c r="I110" i="4"/>
  <c r="M110" i="4"/>
  <c r="AX110" i="4"/>
  <c r="AJ110" i="4" s="1"/>
  <c r="AI110" i="4" s="1"/>
  <c r="BE110" i="4" s="1"/>
  <c r="BA110" i="4"/>
  <c r="BW110" i="4" s="1"/>
  <c r="BG110" i="4"/>
  <c r="BH110" i="4"/>
  <c r="BJ110" i="4"/>
  <c r="BL110" i="4"/>
  <c r="BM110" i="4"/>
  <c r="BO110" i="4"/>
  <c r="BP110" i="4"/>
  <c r="BQ110" i="4"/>
  <c r="BR110" i="4"/>
  <c r="BS110" i="4"/>
  <c r="BU110" i="4"/>
  <c r="BV110" i="4"/>
  <c r="BZ110" i="4"/>
  <c r="CA110" i="4"/>
  <c r="CB110" i="4"/>
  <c r="CW110" i="4"/>
  <c r="CY110" i="4"/>
  <c r="DB110" i="4"/>
  <c r="DD110" i="4"/>
  <c r="DE110" i="4"/>
  <c r="DG110" i="4"/>
  <c r="DH110" i="4"/>
  <c r="DJ110" i="4"/>
  <c r="DK110" i="4"/>
  <c r="DL110" i="4"/>
  <c r="DM110" i="4"/>
  <c r="DN110" i="4"/>
  <c r="DO110" i="4"/>
  <c r="DP110" i="4"/>
  <c r="DR110" i="4"/>
  <c r="M111" i="4"/>
  <c r="AJ111" i="4"/>
  <c r="AI111" i="4" s="1"/>
  <c r="BE111" i="4" s="1"/>
  <c r="AK111" i="4"/>
  <c r="BG111" i="4"/>
  <c r="BH111" i="4"/>
  <c r="BJ111" i="4"/>
  <c r="BS111" i="4"/>
  <c r="BT111" i="4"/>
  <c r="BU111" i="4"/>
  <c r="BV111" i="4"/>
  <c r="BZ111" i="4"/>
  <c r="CC111" i="4"/>
  <c r="DD111" i="4"/>
  <c r="DM111" i="4"/>
  <c r="DR111" i="4"/>
  <c r="M112" i="4"/>
  <c r="AY112" i="4"/>
  <c r="BG112" i="4"/>
  <c r="BH112" i="4"/>
  <c r="BJ112" i="4"/>
  <c r="BS112" i="4"/>
  <c r="BT112" i="4"/>
  <c r="BV112" i="4"/>
  <c r="BZ112" i="4"/>
  <c r="CQ112" i="4"/>
  <c r="CY112" i="4"/>
  <c r="DD112" i="4"/>
  <c r="DR112" i="4"/>
  <c r="H113" i="4"/>
  <c r="M113" i="4"/>
  <c r="AJ113" i="4"/>
  <c r="BF113" i="4"/>
  <c r="BV113" i="4"/>
  <c r="CA113" i="4"/>
  <c r="CW113" i="4" s="1"/>
  <c r="CB113" i="4"/>
  <c r="DN113" i="4"/>
  <c r="CX113" i="4" s="1"/>
  <c r="AG114" i="4"/>
  <c r="M114" i="4" s="1"/>
  <c r="AX114" i="4"/>
  <c r="BT114" i="4" s="1"/>
  <c r="BD114" i="4"/>
  <c r="BG114" i="4"/>
  <c r="BH114" i="4"/>
  <c r="BJ114" i="4"/>
  <c r="BL114" i="4"/>
  <c r="BM114" i="4"/>
  <c r="BO114" i="4"/>
  <c r="BP114" i="4"/>
  <c r="BQ114" i="4"/>
  <c r="BR114" i="4"/>
  <c r="BS114" i="4"/>
  <c r="BU114" i="4"/>
  <c r="BV114" i="4"/>
  <c r="BW114" i="4"/>
  <c r="BZ114" i="4"/>
  <c r="CP114" i="4"/>
  <c r="DL114" i="4" s="1"/>
  <c r="CV114" i="4"/>
  <c r="DR114" i="4" s="1"/>
  <c r="CY114" i="4"/>
  <c r="DB114" i="4"/>
  <c r="DD114" i="4"/>
  <c r="DE114" i="4"/>
  <c r="DG114" i="4"/>
  <c r="DH114" i="4"/>
  <c r="DJ114" i="4"/>
  <c r="DK114" i="4"/>
  <c r="DM114" i="4"/>
  <c r="DN114" i="4"/>
  <c r="DO114" i="4"/>
  <c r="DP114" i="4"/>
  <c r="AG115" i="4"/>
  <c r="AX115" i="4"/>
  <c r="BT115" i="4" s="1"/>
  <c r="BD115" i="4"/>
  <c r="BG115" i="4"/>
  <c r="BH115" i="4"/>
  <c r="BJ115" i="4"/>
  <c r="BL115" i="4"/>
  <c r="BM115" i="4"/>
  <c r="BO115" i="4"/>
  <c r="BP115" i="4"/>
  <c r="BQ115" i="4"/>
  <c r="BR115" i="4"/>
  <c r="BS115" i="4"/>
  <c r="BU115" i="4"/>
  <c r="BV115" i="4"/>
  <c r="BW115" i="4"/>
  <c r="CP115" i="4"/>
  <c r="DL115" i="4" s="1"/>
  <c r="CV115" i="4"/>
  <c r="CY115" i="4"/>
  <c r="DB115" i="4"/>
  <c r="DD115" i="4"/>
  <c r="DE115" i="4"/>
  <c r="DG115" i="4"/>
  <c r="DH115" i="4"/>
  <c r="DJ115" i="4"/>
  <c r="DK115" i="4"/>
  <c r="DM115" i="4"/>
  <c r="DN115" i="4"/>
  <c r="DO115" i="4"/>
  <c r="DP115" i="4"/>
  <c r="AA116" i="4"/>
  <c r="AG116" i="4"/>
  <c r="AX116" i="4"/>
  <c r="BD116" i="4"/>
  <c r="BZ116" i="4" s="1"/>
  <c r="BG116" i="4"/>
  <c r="BH116" i="4"/>
  <c r="BJ116" i="4"/>
  <c r="BL116" i="4"/>
  <c r="BM116" i="4"/>
  <c r="BR116" i="4"/>
  <c r="BS116" i="4"/>
  <c r="BU116" i="4"/>
  <c r="BV116" i="4"/>
  <c r="BW116" i="4"/>
  <c r="CV116" i="4"/>
  <c r="CB116" i="4" s="1"/>
  <c r="H116" i="4" s="1"/>
  <c r="CY116" i="4"/>
  <c r="DB116" i="4"/>
  <c r="DD116" i="4"/>
  <c r="DE116" i="4"/>
  <c r="DG116" i="4"/>
  <c r="DH116" i="4"/>
  <c r="DJ116" i="4"/>
  <c r="DK116" i="4"/>
  <c r="DM116" i="4"/>
  <c r="DN116" i="4"/>
  <c r="DO116" i="4"/>
  <c r="DP116" i="4"/>
  <c r="M117" i="4"/>
  <c r="AK117" i="4"/>
  <c r="BG117" i="4" s="1"/>
  <c r="BG198" i="4" s="1"/>
  <c r="AX117" i="4"/>
  <c r="BT117" i="4" s="1"/>
  <c r="AY117" i="4"/>
  <c r="AZ117" i="4"/>
  <c r="BA117" i="4"/>
  <c r="BW117" i="4" s="1"/>
  <c r="BH117" i="4"/>
  <c r="BJ117" i="4"/>
  <c r="BL117" i="4"/>
  <c r="BM117" i="4"/>
  <c r="BR117" i="4"/>
  <c r="BS117" i="4"/>
  <c r="BU117" i="4"/>
  <c r="BV117" i="4"/>
  <c r="BV198" i="4" s="1"/>
  <c r="BZ117" i="4"/>
  <c r="CC117" i="4"/>
  <c r="CP117" i="4"/>
  <c r="DL117" i="4" s="1"/>
  <c r="CQ117" i="4"/>
  <c r="DM117" i="4" s="1"/>
  <c r="CR117" i="4"/>
  <c r="CS117" i="4"/>
  <c r="DO117" i="4" s="1"/>
  <c r="DB117" i="4"/>
  <c r="DD117" i="4"/>
  <c r="DE117" i="4"/>
  <c r="DG117" i="4"/>
  <c r="DH117" i="4"/>
  <c r="DJ117" i="4"/>
  <c r="DK117" i="4"/>
  <c r="DP117" i="4"/>
  <c r="DR117" i="4"/>
  <c r="M118" i="4"/>
  <c r="AJ118" i="4"/>
  <c r="BA118" i="4"/>
  <c r="BG118" i="4"/>
  <c r="BH118" i="4"/>
  <c r="BJ118" i="4"/>
  <c r="BL118" i="4"/>
  <c r="BM118" i="4"/>
  <c r="BR118" i="4"/>
  <c r="BS118" i="4"/>
  <c r="BT118" i="4"/>
  <c r="BU118" i="4"/>
  <c r="BV118" i="4"/>
  <c r="BW118" i="4"/>
  <c r="BZ118" i="4"/>
  <c r="CS118" i="4"/>
  <c r="DO118" i="4" s="1"/>
  <c r="CY118" i="4"/>
  <c r="DB118" i="4"/>
  <c r="DD118" i="4"/>
  <c r="DE118" i="4"/>
  <c r="DG118" i="4"/>
  <c r="DH118" i="4"/>
  <c r="DJ118" i="4"/>
  <c r="DK118" i="4"/>
  <c r="DL118" i="4"/>
  <c r="DM118" i="4"/>
  <c r="DN118" i="4"/>
  <c r="DP118" i="4"/>
  <c r="DR118" i="4"/>
  <c r="M119" i="4"/>
  <c r="AY119" i="4"/>
  <c r="BA119" i="4"/>
  <c r="BW119" i="4" s="1"/>
  <c r="BG119" i="4"/>
  <c r="BH119" i="4"/>
  <c r="BJ119" i="4"/>
  <c r="BL119" i="4"/>
  <c r="BM119" i="4"/>
  <c r="BR119" i="4"/>
  <c r="BS119" i="4"/>
  <c r="BT119" i="4"/>
  <c r="BV119" i="4"/>
  <c r="BZ119" i="4"/>
  <c r="CQ119" i="4"/>
  <c r="CS119" i="4"/>
  <c r="DO119" i="4" s="1"/>
  <c r="CY119" i="4"/>
  <c r="DB119" i="4"/>
  <c r="DD119" i="4"/>
  <c r="DE119" i="4"/>
  <c r="DG119" i="4"/>
  <c r="DH119" i="4"/>
  <c r="DJ119" i="4"/>
  <c r="DK119" i="4"/>
  <c r="DL119" i="4"/>
  <c r="DN119" i="4"/>
  <c r="DP119" i="4"/>
  <c r="DR119" i="4"/>
  <c r="M120" i="4"/>
  <c r="AX120" i="4"/>
  <c r="BT120" i="4" s="1"/>
  <c r="BG120" i="4"/>
  <c r="BH120" i="4"/>
  <c r="BJ120" i="4"/>
  <c r="BL120" i="4"/>
  <c r="BM120" i="4"/>
  <c r="BR120" i="4"/>
  <c r="BS120" i="4"/>
  <c r="BU120" i="4"/>
  <c r="BV120" i="4"/>
  <c r="BW120" i="4"/>
  <c r="BZ120" i="4"/>
  <c r="CP120" i="4"/>
  <c r="CB120" i="4" s="1"/>
  <c r="CY120" i="4"/>
  <c r="DB120" i="4"/>
  <c r="DD120" i="4"/>
  <c r="DE120" i="4"/>
  <c r="DG120" i="4"/>
  <c r="DH120" i="4"/>
  <c r="DJ120" i="4"/>
  <c r="DK120" i="4"/>
  <c r="DL120" i="4"/>
  <c r="DM120" i="4"/>
  <c r="DN120" i="4"/>
  <c r="DO120" i="4"/>
  <c r="DP120" i="4"/>
  <c r="DR120" i="4"/>
  <c r="G121" i="4"/>
  <c r="N121" i="4"/>
  <c r="P121" i="4"/>
  <c r="Q121" i="4"/>
  <c r="R121" i="4"/>
  <c r="S121" i="4"/>
  <c r="T121" i="4"/>
  <c r="U121" i="4"/>
  <c r="V121" i="4"/>
  <c r="W121" i="4"/>
  <c r="X121" i="4"/>
  <c r="Y121" i="4"/>
  <c r="Z121" i="4"/>
  <c r="AB121" i="4"/>
  <c r="AC121" i="4"/>
  <c r="AD121" i="4"/>
  <c r="AE121" i="4"/>
  <c r="AF121" i="4"/>
  <c r="AG121" i="4"/>
  <c r="AL121" i="4"/>
  <c r="AN121" i="4"/>
  <c r="AP121" i="4"/>
  <c r="AQ121" i="4"/>
  <c r="AR121" i="4"/>
  <c r="AS121" i="4"/>
  <c r="AT121" i="4"/>
  <c r="AU121" i="4"/>
  <c r="AV121" i="4"/>
  <c r="AW121" i="4"/>
  <c r="AZ121" i="4"/>
  <c r="BB121" i="4"/>
  <c r="BC121" i="4"/>
  <c r="BK121" i="4"/>
  <c r="BN121" i="4"/>
  <c r="BP121" i="4"/>
  <c r="BQ121" i="4"/>
  <c r="BX121" i="4"/>
  <c r="BY121" i="4"/>
  <c r="CD121" i="4"/>
  <c r="CF121" i="4"/>
  <c r="CH121" i="4"/>
  <c r="CI121" i="4"/>
  <c r="CK121" i="4"/>
  <c r="CL121" i="4"/>
  <c r="CM121" i="4"/>
  <c r="CM189" i="4" s="1"/>
  <c r="CN121" i="4"/>
  <c r="CO121" i="4"/>
  <c r="CT121" i="4"/>
  <c r="CU121" i="4"/>
  <c r="DC121" i="4"/>
  <c r="DF121" i="4"/>
  <c r="DI121" i="4"/>
  <c r="DQ121" i="4"/>
  <c r="M122" i="4"/>
  <c r="AP122" i="4"/>
  <c r="BG122" i="4"/>
  <c r="BH122" i="4"/>
  <c r="BJ122" i="4"/>
  <c r="BK122" i="4"/>
  <c r="BM122" i="4"/>
  <c r="BO122" i="4"/>
  <c r="BP122" i="4"/>
  <c r="BQ122" i="4"/>
  <c r="BR122" i="4"/>
  <c r="BS122" i="4"/>
  <c r="BT122" i="4"/>
  <c r="BU122" i="4"/>
  <c r="BV122" i="4"/>
  <c r="BW122" i="4"/>
  <c r="BZ122" i="4"/>
  <c r="CH122" i="4"/>
  <c r="DB122" i="4"/>
  <c r="DC122" i="4"/>
  <c r="DE122" i="4"/>
  <c r="DG122" i="4"/>
  <c r="DH122" i="4"/>
  <c r="DJ122" i="4"/>
  <c r="DK122" i="4"/>
  <c r="DL122" i="4"/>
  <c r="DM122" i="4"/>
  <c r="DN122" i="4"/>
  <c r="DO122" i="4"/>
  <c r="DP122" i="4"/>
  <c r="DR122" i="4"/>
  <c r="M123" i="4"/>
  <c r="AJ123" i="4"/>
  <c r="AP123" i="4"/>
  <c r="BG123" i="4"/>
  <c r="BH123" i="4"/>
  <c r="BJ123" i="4"/>
  <c r="BF123" i="4" s="1"/>
  <c r="BK123" i="4"/>
  <c r="BL123" i="4"/>
  <c r="BM123" i="4"/>
  <c r="BO123" i="4"/>
  <c r="BP123" i="4"/>
  <c r="BQ123" i="4"/>
  <c r="BR123" i="4"/>
  <c r="BS123" i="4"/>
  <c r="BT123" i="4"/>
  <c r="BU123" i="4"/>
  <c r="BV123" i="4"/>
  <c r="BW123" i="4"/>
  <c r="BZ123" i="4"/>
  <c r="CH123" i="4"/>
  <c r="DB123" i="4"/>
  <c r="DC123" i="4"/>
  <c r="DE123" i="4"/>
  <c r="DG123" i="4"/>
  <c r="DH123" i="4"/>
  <c r="DJ123" i="4"/>
  <c r="DK123" i="4"/>
  <c r="DL123" i="4"/>
  <c r="DM123" i="4"/>
  <c r="DN123" i="4"/>
  <c r="DO123" i="4"/>
  <c r="DP123" i="4"/>
  <c r="DR123" i="4"/>
  <c r="H124" i="4"/>
  <c r="Q124" i="4"/>
  <c r="S124" i="4"/>
  <c r="DD124" i="4" s="1"/>
  <c r="AJ124" i="4"/>
  <c r="BG124" i="4"/>
  <c r="BH124" i="4"/>
  <c r="BJ124" i="4"/>
  <c r="BK124" i="4"/>
  <c r="BL124" i="4"/>
  <c r="BM124" i="4"/>
  <c r="BO124" i="4"/>
  <c r="BP124" i="4"/>
  <c r="BQ124" i="4"/>
  <c r="BR124" i="4"/>
  <c r="BS124" i="4"/>
  <c r="BT124" i="4"/>
  <c r="BU124" i="4"/>
  <c r="BV124" i="4"/>
  <c r="BW124" i="4"/>
  <c r="BZ124" i="4"/>
  <c r="CB124" i="4"/>
  <c r="DB124" i="4"/>
  <c r="DC124" i="4"/>
  <c r="DE124" i="4"/>
  <c r="DG124" i="4"/>
  <c r="DH124" i="4"/>
  <c r="DJ124" i="4"/>
  <c r="DK124" i="4"/>
  <c r="DL124" i="4"/>
  <c r="DM124" i="4"/>
  <c r="DN124" i="4"/>
  <c r="DO124" i="4"/>
  <c r="DP124" i="4"/>
  <c r="DR124" i="4"/>
  <c r="M125" i="4"/>
  <c r="AJ125" i="4"/>
  <c r="AI125" i="4" s="1"/>
  <c r="BE125" i="4" s="1"/>
  <c r="BG125" i="4"/>
  <c r="BH125" i="4"/>
  <c r="BJ125" i="4"/>
  <c r="BK125" i="4"/>
  <c r="BL125" i="4"/>
  <c r="BM125" i="4"/>
  <c r="BO125" i="4"/>
  <c r="BP125" i="4"/>
  <c r="BQ125" i="4"/>
  <c r="BR125" i="4"/>
  <c r="BS125" i="4"/>
  <c r="BT125" i="4"/>
  <c r="BU125" i="4"/>
  <c r="BV125" i="4"/>
  <c r="BW125" i="4"/>
  <c r="BZ125" i="4"/>
  <c r="CB125" i="4"/>
  <c r="DB125" i="4"/>
  <c r="DC125" i="4"/>
  <c r="DD125" i="4"/>
  <c r="DE125" i="4"/>
  <c r="DG125" i="4"/>
  <c r="DH125" i="4"/>
  <c r="DJ125" i="4"/>
  <c r="DK125" i="4"/>
  <c r="DL125" i="4"/>
  <c r="DM125" i="4"/>
  <c r="DN125" i="4"/>
  <c r="DO125" i="4"/>
  <c r="DP125" i="4"/>
  <c r="DR125" i="4"/>
  <c r="H126" i="4"/>
  <c r="Q126" i="4"/>
  <c r="M126" i="4" s="1"/>
  <c r="CA126" i="4" s="1"/>
  <c r="CW126" i="4" s="1"/>
  <c r="AN126" i="4"/>
  <c r="AJ126" i="4" s="1"/>
  <c r="AI126" i="4" s="1"/>
  <c r="BE126" i="4" s="1"/>
  <c r="BG126" i="4"/>
  <c r="BH126" i="4"/>
  <c r="BK126" i="4"/>
  <c r="BL126" i="4"/>
  <c r="BM126" i="4"/>
  <c r="BO126" i="4"/>
  <c r="BP126" i="4"/>
  <c r="BQ126" i="4"/>
  <c r="BR126" i="4"/>
  <c r="BS126" i="4"/>
  <c r="BT126" i="4"/>
  <c r="BU126" i="4"/>
  <c r="BV126" i="4"/>
  <c r="BW126" i="4"/>
  <c r="BZ126" i="4"/>
  <c r="CB126" i="4"/>
  <c r="DB126" i="4"/>
  <c r="DC126" i="4"/>
  <c r="DD126" i="4"/>
  <c r="DE126" i="4"/>
  <c r="DG126" i="4"/>
  <c r="DH126" i="4"/>
  <c r="DJ126" i="4"/>
  <c r="DK126" i="4"/>
  <c r="DL126" i="4"/>
  <c r="DM126" i="4"/>
  <c r="DN126" i="4"/>
  <c r="DO126" i="4"/>
  <c r="DP126" i="4"/>
  <c r="DR126" i="4"/>
  <c r="Q127" i="4"/>
  <c r="R127" i="4"/>
  <c r="AN127" i="4"/>
  <c r="BJ127" i="4" s="1"/>
  <c r="AO127" i="4"/>
  <c r="BG127" i="4"/>
  <c r="BH127" i="4"/>
  <c r="BL127" i="4"/>
  <c r="BM127" i="4"/>
  <c r="BO127" i="4"/>
  <c r="BP127" i="4"/>
  <c r="BQ127" i="4"/>
  <c r="BR127" i="4"/>
  <c r="BS127" i="4"/>
  <c r="BT127" i="4"/>
  <c r="BU127" i="4"/>
  <c r="BV127" i="4"/>
  <c r="BW127" i="4"/>
  <c r="BZ127" i="4"/>
  <c r="CF127" i="4"/>
  <c r="CG127" i="4"/>
  <c r="CG191" i="4" s="1"/>
  <c r="DD127" i="4"/>
  <c r="DE127" i="4"/>
  <c r="DG127" i="4"/>
  <c r="DH127" i="4"/>
  <c r="DJ127" i="4"/>
  <c r="DK127" i="4"/>
  <c r="DL127" i="4"/>
  <c r="DM127" i="4"/>
  <c r="DN127" i="4"/>
  <c r="DO127" i="4"/>
  <c r="DP127" i="4"/>
  <c r="DR127" i="4"/>
  <c r="M128" i="4"/>
  <c r="Q128" i="4"/>
  <c r="DB128" i="4" s="1"/>
  <c r="AJ128" i="4"/>
  <c r="AI128" i="4" s="1"/>
  <c r="BE128" i="4"/>
  <c r="BG128" i="4"/>
  <c r="BH128" i="4"/>
  <c r="BJ128" i="4"/>
  <c r="BK128" i="4"/>
  <c r="BL128" i="4"/>
  <c r="BM128" i="4"/>
  <c r="BO128" i="4"/>
  <c r="BP128" i="4"/>
  <c r="BF128" i="4" s="1"/>
  <c r="BQ128" i="4"/>
  <c r="BR128" i="4"/>
  <c r="BS128" i="4"/>
  <c r="BT128" i="4"/>
  <c r="BU128" i="4"/>
  <c r="BV128" i="4"/>
  <c r="BW128" i="4"/>
  <c r="BZ128" i="4"/>
  <c r="CB128" i="4"/>
  <c r="DC128" i="4"/>
  <c r="DD128" i="4"/>
  <c r="DE128" i="4"/>
  <c r="DG128" i="4"/>
  <c r="DH128" i="4"/>
  <c r="DJ128" i="4"/>
  <c r="DK128" i="4"/>
  <c r="DL128" i="4"/>
  <c r="DM128" i="4"/>
  <c r="DN128" i="4"/>
  <c r="DO128" i="4"/>
  <c r="DP128" i="4"/>
  <c r="DR128" i="4"/>
  <c r="Q129" i="4"/>
  <c r="AJ129" i="4"/>
  <c r="BG129" i="4"/>
  <c r="BH129" i="4"/>
  <c r="BK129" i="4"/>
  <c r="BL129" i="4"/>
  <c r="BL191" i="4" s="1"/>
  <c r="BM129" i="4"/>
  <c r="BO129" i="4"/>
  <c r="BP129" i="4"/>
  <c r="BQ129" i="4"/>
  <c r="BR129" i="4"/>
  <c r="BR191" i="4" s="1"/>
  <c r="BS129" i="4"/>
  <c r="BT129" i="4"/>
  <c r="BU129" i="4"/>
  <c r="BV129" i="4"/>
  <c r="BW129" i="4"/>
  <c r="BX129" i="4"/>
  <c r="BY129" i="4"/>
  <c r="BZ129" i="4"/>
  <c r="CB129" i="4"/>
  <c r="DC129" i="4"/>
  <c r="DD129" i="4"/>
  <c r="DE129" i="4"/>
  <c r="DG129" i="4"/>
  <c r="DH129" i="4"/>
  <c r="DI129" i="4"/>
  <c r="DI187" i="4" s="1"/>
  <c r="DI189" i="4" s="1"/>
  <c r="DJ129" i="4"/>
  <c r="DK129" i="4"/>
  <c r="DL129" i="4"/>
  <c r="DM129" i="4"/>
  <c r="DN129" i="4"/>
  <c r="DO129" i="4"/>
  <c r="DP129" i="4"/>
  <c r="DR129" i="4"/>
  <c r="H130" i="4"/>
  <c r="M130" i="4"/>
  <c r="I130" i="4" s="1"/>
  <c r="AI130" i="4"/>
  <c r="BE130" i="4" s="1"/>
  <c r="AJ130" i="4"/>
  <c r="BG130" i="4"/>
  <c r="BH130" i="4"/>
  <c r="BJ130" i="4"/>
  <c r="BK130" i="4"/>
  <c r="BL130" i="4"/>
  <c r="BM130" i="4"/>
  <c r="BO130" i="4"/>
  <c r="BP130" i="4"/>
  <c r="BQ130" i="4"/>
  <c r="BR130" i="4"/>
  <c r="BS130" i="4"/>
  <c r="BT130" i="4"/>
  <c r="BU130" i="4"/>
  <c r="BV130" i="4"/>
  <c r="BW130" i="4"/>
  <c r="BY130" i="4"/>
  <c r="BZ130" i="4"/>
  <c r="CB130" i="4"/>
  <c r="DB130" i="4"/>
  <c r="CX130" i="4" s="1"/>
  <c r="DC130" i="4"/>
  <c r="DD130" i="4"/>
  <c r="DE130" i="4"/>
  <c r="DG130" i="4"/>
  <c r="DH130" i="4"/>
  <c r="DI130" i="4"/>
  <c r="DJ130" i="4"/>
  <c r="DJ191" i="4" s="1"/>
  <c r="DK130" i="4"/>
  <c r="DL130" i="4"/>
  <c r="DM130" i="4"/>
  <c r="DN130" i="4"/>
  <c r="DO130" i="4"/>
  <c r="DP130" i="4"/>
  <c r="DR130" i="4"/>
  <c r="H131" i="4"/>
  <c r="Q131" i="4"/>
  <c r="AJ131" i="4"/>
  <c r="BG131" i="4"/>
  <c r="BH131" i="4"/>
  <c r="BK131" i="4"/>
  <c r="BL131" i="4"/>
  <c r="BM131" i="4"/>
  <c r="BO131" i="4"/>
  <c r="BP131" i="4"/>
  <c r="BQ131" i="4"/>
  <c r="BR131" i="4"/>
  <c r="BS131" i="4"/>
  <c r="BT131" i="4"/>
  <c r="BU131" i="4"/>
  <c r="BV131" i="4"/>
  <c r="BW131" i="4"/>
  <c r="BY131" i="4"/>
  <c r="BZ131" i="4"/>
  <c r="CB131" i="4"/>
  <c r="DB131" i="4"/>
  <c r="DC131" i="4"/>
  <c r="DD131" i="4"/>
  <c r="DE131" i="4"/>
  <c r="CX131" i="4" s="1"/>
  <c r="DG131" i="4"/>
  <c r="DH131" i="4"/>
  <c r="DJ131" i="4"/>
  <c r="DK131" i="4"/>
  <c r="DL131" i="4"/>
  <c r="DM131" i="4"/>
  <c r="DN131" i="4"/>
  <c r="DO131" i="4"/>
  <c r="DP131" i="4"/>
  <c r="DR131" i="4"/>
  <c r="M132" i="4"/>
  <c r="Q132" i="4"/>
  <c r="AJ132" i="4"/>
  <c r="AI132" i="4" s="1"/>
  <c r="BE132" i="4"/>
  <c r="BG132" i="4"/>
  <c r="BH132" i="4"/>
  <c r="BJ132" i="4"/>
  <c r="BK132" i="4"/>
  <c r="BL132" i="4"/>
  <c r="BM132" i="4"/>
  <c r="BO132" i="4"/>
  <c r="BP132" i="4"/>
  <c r="BQ132" i="4"/>
  <c r="BR132" i="4"/>
  <c r="BS132" i="4"/>
  <c r="BT132" i="4"/>
  <c r="BU132" i="4"/>
  <c r="BV132" i="4"/>
  <c r="BW132" i="4"/>
  <c r="BY132" i="4"/>
  <c r="BZ132" i="4"/>
  <c r="CB132" i="4"/>
  <c r="CA132" i="4" s="1"/>
  <c r="CW132" i="4" s="1"/>
  <c r="DB132" i="4"/>
  <c r="DC132" i="4"/>
  <c r="CX132" i="4" s="1"/>
  <c r="DD132" i="4"/>
  <c r="DE132" i="4"/>
  <c r="DG132" i="4"/>
  <c r="DH132" i="4"/>
  <c r="DJ132" i="4"/>
  <c r="DK132" i="4"/>
  <c r="DL132" i="4"/>
  <c r="DM132" i="4"/>
  <c r="DN132" i="4"/>
  <c r="DO132" i="4"/>
  <c r="DP132" i="4"/>
  <c r="DR132" i="4"/>
  <c r="M133" i="4"/>
  <c r="Q133" i="4"/>
  <c r="AJ133" i="4"/>
  <c r="AI133" i="4" s="1"/>
  <c r="BE133" i="4"/>
  <c r="BG133" i="4"/>
  <c r="BH133" i="4"/>
  <c r="BJ133" i="4"/>
  <c r="BK133" i="4"/>
  <c r="BL133" i="4"/>
  <c r="BM133" i="4"/>
  <c r="BO133" i="4"/>
  <c r="BP133" i="4"/>
  <c r="BF133" i="4" s="1"/>
  <c r="BQ133" i="4"/>
  <c r="BR133" i="4"/>
  <c r="BS133" i="4"/>
  <c r="BT133" i="4"/>
  <c r="BU133" i="4"/>
  <c r="BV133" i="4"/>
  <c r="BW133" i="4"/>
  <c r="BY133" i="4"/>
  <c r="BZ133" i="4"/>
  <c r="CA133" i="4"/>
  <c r="CW133" i="4" s="1"/>
  <c r="CB133" i="4"/>
  <c r="H133" i="4" s="1"/>
  <c r="I133" i="4" s="1"/>
  <c r="DB133" i="4"/>
  <c r="DC133" i="4"/>
  <c r="DD133" i="4"/>
  <c r="DD191" i="4" s="1"/>
  <c r="DE133" i="4"/>
  <c r="DG133" i="4"/>
  <c r="DH133" i="4"/>
  <c r="DJ133" i="4"/>
  <c r="DK133" i="4"/>
  <c r="DL133" i="4"/>
  <c r="DM133" i="4"/>
  <c r="DN133" i="4"/>
  <c r="DO133" i="4"/>
  <c r="DP133" i="4"/>
  <c r="DR133" i="4"/>
  <c r="H134" i="4"/>
  <c r="M134" i="4"/>
  <c r="Q134" i="4"/>
  <c r="AN134" i="4"/>
  <c r="BG134" i="4"/>
  <c r="BH134" i="4"/>
  <c r="BK134" i="4"/>
  <c r="BL134" i="4"/>
  <c r="BM134" i="4"/>
  <c r="BO134" i="4"/>
  <c r="BP134" i="4"/>
  <c r="BQ134" i="4"/>
  <c r="BR134" i="4"/>
  <c r="BS134" i="4"/>
  <c r="BT134" i="4"/>
  <c r="BU134" i="4"/>
  <c r="BV134" i="4"/>
  <c r="BW134" i="4"/>
  <c r="BY134" i="4"/>
  <c r="BZ134" i="4"/>
  <c r="CA134" i="4"/>
  <c r="CW134" i="4" s="1"/>
  <c r="CB134" i="4"/>
  <c r="DB134" i="4"/>
  <c r="DC134" i="4"/>
  <c r="DD134" i="4"/>
  <c r="DE134" i="4"/>
  <c r="DG134" i="4"/>
  <c r="DH134" i="4"/>
  <c r="DJ134" i="4"/>
  <c r="DK134" i="4"/>
  <c r="DL134" i="4"/>
  <c r="DM134" i="4"/>
  <c r="DN134" i="4"/>
  <c r="DO134" i="4"/>
  <c r="DP134" i="4"/>
  <c r="DR134" i="4"/>
  <c r="Q135" i="4"/>
  <c r="DB135" i="4" s="1"/>
  <c r="AJ135" i="4"/>
  <c r="BG135" i="4"/>
  <c r="BH135" i="4"/>
  <c r="BK135" i="4"/>
  <c r="BL135" i="4"/>
  <c r="BM135" i="4"/>
  <c r="BO135" i="4"/>
  <c r="BP135" i="4"/>
  <c r="BQ135" i="4"/>
  <c r="BR135" i="4"/>
  <c r="BS135" i="4"/>
  <c r="BT135" i="4"/>
  <c r="BU135" i="4"/>
  <c r="BV135" i="4"/>
  <c r="BW135" i="4"/>
  <c r="BY135" i="4"/>
  <c r="BZ135" i="4"/>
  <c r="CB135" i="4"/>
  <c r="DC135" i="4"/>
  <c r="DD135" i="4"/>
  <c r="DE135" i="4"/>
  <c r="DG135" i="4"/>
  <c r="DH135" i="4"/>
  <c r="DH191" i="4" s="1"/>
  <c r="DJ135" i="4"/>
  <c r="DK135" i="4"/>
  <c r="DL135" i="4"/>
  <c r="DM135" i="4"/>
  <c r="DN135" i="4"/>
  <c r="DO135" i="4"/>
  <c r="DP135" i="4"/>
  <c r="DR135" i="4"/>
  <c r="H136" i="4"/>
  <c r="Q136" i="4"/>
  <c r="AJ136" i="4"/>
  <c r="BG136" i="4"/>
  <c r="BH136" i="4"/>
  <c r="BH191" i="4" s="1"/>
  <c r="BK136" i="4"/>
  <c r="BL136" i="4"/>
  <c r="BM136" i="4"/>
  <c r="BO136" i="4"/>
  <c r="BP136" i="4"/>
  <c r="BQ136" i="4"/>
  <c r="BR136" i="4"/>
  <c r="BS136" i="4"/>
  <c r="BT136" i="4"/>
  <c r="BU136" i="4"/>
  <c r="BV136" i="4"/>
  <c r="BW136" i="4"/>
  <c r="BY136" i="4"/>
  <c r="BZ136" i="4"/>
  <c r="CB136" i="4"/>
  <c r="DB136" i="4"/>
  <c r="DC136" i="4"/>
  <c r="DD136" i="4"/>
  <c r="DE136" i="4"/>
  <c r="DG136" i="4"/>
  <c r="DH136" i="4"/>
  <c r="DJ136" i="4"/>
  <c r="DK136" i="4"/>
  <c r="DL136" i="4"/>
  <c r="DM136" i="4"/>
  <c r="DN136" i="4"/>
  <c r="DO136" i="4"/>
  <c r="DP136" i="4"/>
  <c r="DR136" i="4"/>
  <c r="H137" i="4"/>
  <c r="M137" i="4"/>
  <c r="CA137" i="4" s="1"/>
  <c r="CW137" i="4" s="1"/>
  <c r="Q137" i="4"/>
  <c r="AI137" i="4"/>
  <c r="BE137" i="4" s="1"/>
  <c r="AJ137" i="4"/>
  <c r="BG137" i="4"/>
  <c r="BH137" i="4"/>
  <c r="BJ137" i="4"/>
  <c r="BK137" i="4"/>
  <c r="BL137" i="4"/>
  <c r="BM137" i="4"/>
  <c r="BO137" i="4"/>
  <c r="BP137" i="4"/>
  <c r="BQ137" i="4"/>
  <c r="BR137" i="4"/>
  <c r="BS137" i="4"/>
  <c r="BT137" i="4"/>
  <c r="BU137" i="4"/>
  <c r="BV137" i="4"/>
  <c r="BW137" i="4"/>
  <c r="BY137" i="4"/>
  <c r="BZ137" i="4"/>
  <c r="CB137" i="4"/>
  <c r="DB137" i="4"/>
  <c r="DC137" i="4"/>
  <c r="DD137" i="4"/>
  <c r="DE137" i="4"/>
  <c r="DG137" i="4"/>
  <c r="DH137" i="4"/>
  <c r="DJ137" i="4"/>
  <c r="DK137" i="4"/>
  <c r="DL137" i="4"/>
  <c r="DM137" i="4"/>
  <c r="DM191" i="4" s="1"/>
  <c r="DN137" i="4"/>
  <c r="DO137" i="4"/>
  <c r="DP137" i="4"/>
  <c r="DP191" i="4" s="1"/>
  <c r="DR137" i="4"/>
  <c r="Q138" i="4"/>
  <c r="AJ138" i="4"/>
  <c r="BG138" i="4"/>
  <c r="BH138" i="4"/>
  <c r="BK138" i="4"/>
  <c r="BL138" i="4"/>
  <c r="BM138" i="4"/>
  <c r="BO138" i="4"/>
  <c r="BP138" i="4"/>
  <c r="BQ138" i="4"/>
  <c r="BR138" i="4"/>
  <c r="BS138" i="4"/>
  <c r="BT138" i="4"/>
  <c r="BU138" i="4"/>
  <c r="BV138" i="4"/>
  <c r="BW138" i="4"/>
  <c r="BY138" i="4"/>
  <c r="BZ138" i="4"/>
  <c r="CB138" i="4"/>
  <c r="H138" i="4" s="1"/>
  <c r="DB138" i="4"/>
  <c r="DC138" i="4"/>
  <c r="DD138" i="4"/>
  <c r="DE138" i="4"/>
  <c r="DG138" i="4"/>
  <c r="DH138" i="4"/>
  <c r="DJ138" i="4"/>
  <c r="DK138" i="4"/>
  <c r="DL138" i="4"/>
  <c r="DM138" i="4"/>
  <c r="DN138" i="4"/>
  <c r="DO138" i="4"/>
  <c r="DP138" i="4"/>
  <c r="DR138" i="4"/>
  <c r="Q139" i="4"/>
  <c r="AN139" i="4"/>
  <c r="AJ139" i="4" s="1"/>
  <c r="BG139" i="4"/>
  <c r="BH139" i="4"/>
  <c r="BK139" i="4"/>
  <c r="BL139" i="4"/>
  <c r="BM139" i="4"/>
  <c r="BO139" i="4"/>
  <c r="BP139" i="4"/>
  <c r="BQ139" i="4"/>
  <c r="BR139" i="4"/>
  <c r="BS139" i="4"/>
  <c r="BT139" i="4"/>
  <c r="BU139" i="4"/>
  <c r="BV139" i="4"/>
  <c r="BW139" i="4"/>
  <c r="BY139" i="4"/>
  <c r="BZ139" i="4"/>
  <c r="CF139" i="4"/>
  <c r="CB139" i="4" s="1"/>
  <c r="DC139" i="4"/>
  <c r="DD139" i="4"/>
  <c r="DE139" i="4"/>
  <c r="DG139" i="4"/>
  <c r="DH139" i="4"/>
  <c r="DJ139" i="4"/>
  <c r="DK139" i="4"/>
  <c r="DL139" i="4"/>
  <c r="DM139" i="4"/>
  <c r="DN139" i="4"/>
  <c r="DO139" i="4"/>
  <c r="DP139" i="4"/>
  <c r="DR139" i="4"/>
  <c r="M140" i="4"/>
  <c r="Q140" i="4"/>
  <c r="AN140" i="4"/>
  <c r="BG140" i="4"/>
  <c r="BH140" i="4"/>
  <c r="BK140" i="4"/>
  <c r="BL140" i="4"/>
  <c r="BM140" i="4"/>
  <c r="BO140" i="4"/>
  <c r="BP140" i="4"/>
  <c r="BQ140" i="4"/>
  <c r="BR140" i="4"/>
  <c r="BS140" i="4"/>
  <c r="BT140" i="4"/>
  <c r="BU140" i="4"/>
  <c r="BV140" i="4"/>
  <c r="BW140" i="4"/>
  <c r="BY140" i="4"/>
  <c r="BZ140" i="4"/>
  <c r="CF140" i="4"/>
  <c r="CB140" i="4" s="1"/>
  <c r="DB140" i="4"/>
  <c r="DC140" i="4"/>
  <c r="DD140" i="4"/>
  <c r="DE140" i="4"/>
  <c r="DG140" i="4"/>
  <c r="DH140" i="4"/>
  <c r="DJ140" i="4"/>
  <c r="DK140" i="4"/>
  <c r="DL140" i="4"/>
  <c r="DM140" i="4"/>
  <c r="DN140" i="4"/>
  <c r="DO140" i="4"/>
  <c r="DP140" i="4"/>
  <c r="DR140" i="4"/>
  <c r="M141" i="4"/>
  <c r="Q141" i="4"/>
  <c r="AJ141" i="4"/>
  <c r="BG141" i="4"/>
  <c r="BH141" i="4"/>
  <c r="BJ141" i="4"/>
  <c r="BK141" i="4"/>
  <c r="BL141" i="4"/>
  <c r="BM141" i="4"/>
  <c r="BO141" i="4"/>
  <c r="BP141" i="4"/>
  <c r="BP191" i="4" s="1"/>
  <c r="BQ141" i="4"/>
  <c r="BR141" i="4"/>
  <c r="BS141" i="4"/>
  <c r="BT141" i="4"/>
  <c r="BU141" i="4"/>
  <c r="BV141" i="4"/>
  <c r="BW141" i="4"/>
  <c r="BY141" i="4"/>
  <c r="BZ141" i="4"/>
  <c r="CB141" i="4"/>
  <c r="DB141" i="4"/>
  <c r="DC141" i="4"/>
  <c r="DD141" i="4"/>
  <c r="DE141" i="4"/>
  <c r="DG141" i="4"/>
  <c r="DH141" i="4"/>
  <c r="DJ141" i="4"/>
  <c r="DK141" i="4"/>
  <c r="DL141" i="4"/>
  <c r="DM141" i="4"/>
  <c r="DN141" i="4"/>
  <c r="DO141" i="4"/>
  <c r="DP141" i="4"/>
  <c r="DR141" i="4"/>
  <c r="AG142" i="4"/>
  <c r="BD142" i="4"/>
  <c r="AJ142" i="4" s="1"/>
  <c r="BG142" i="4"/>
  <c r="BH142" i="4"/>
  <c r="BJ142" i="4"/>
  <c r="BK142" i="4"/>
  <c r="BL142" i="4"/>
  <c r="BM142" i="4"/>
  <c r="BO142" i="4"/>
  <c r="BP142" i="4"/>
  <c r="BQ142" i="4"/>
  <c r="BR142" i="4"/>
  <c r="BS142" i="4"/>
  <c r="BT142" i="4"/>
  <c r="BU142" i="4"/>
  <c r="BV142" i="4"/>
  <c r="BW142" i="4"/>
  <c r="BY142" i="4"/>
  <c r="CV142" i="4"/>
  <c r="CB142" i="4" s="1"/>
  <c r="DB142" i="4"/>
  <c r="DC142" i="4"/>
  <c r="DD142" i="4"/>
  <c r="DE142" i="4"/>
  <c r="DG142" i="4"/>
  <c r="DH142" i="4"/>
  <c r="DJ142" i="4"/>
  <c r="DK142" i="4"/>
  <c r="DL142" i="4"/>
  <c r="DM142" i="4"/>
  <c r="DN142" i="4"/>
  <c r="DO142" i="4"/>
  <c r="DP142" i="4"/>
  <c r="M143" i="4"/>
  <c r="Q143" i="4"/>
  <c r="BJ143" i="4" s="1"/>
  <c r="AJ143" i="4"/>
  <c r="BF143" i="4"/>
  <c r="CB143" i="4"/>
  <c r="H143" i="4" s="1"/>
  <c r="DB143" i="4"/>
  <c r="CX143" i="4" s="1"/>
  <c r="Q144" i="4"/>
  <c r="AJ144" i="4"/>
  <c r="BG144" i="4"/>
  <c r="BH144" i="4"/>
  <c r="BK144" i="4"/>
  <c r="BL144" i="4"/>
  <c r="BM144" i="4"/>
  <c r="BO144" i="4"/>
  <c r="BP144" i="4"/>
  <c r="BQ144" i="4"/>
  <c r="BR144" i="4"/>
  <c r="BS144" i="4"/>
  <c r="BT144" i="4"/>
  <c r="BU144" i="4"/>
  <c r="BV144" i="4"/>
  <c r="BW144" i="4"/>
  <c r="BY144" i="4"/>
  <c r="BZ144" i="4"/>
  <c r="CF144" i="4"/>
  <c r="CB144" i="4" s="1"/>
  <c r="H144" i="4" s="1"/>
  <c r="DC144" i="4"/>
  <c r="DD144" i="4"/>
  <c r="DE144" i="4"/>
  <c r="DG144" i="4"/>
  <c r="DH144" i="4"/>
  <c r="DJ144" i="4"/>
  <c r="DK144" i="4"/>
  <c r="DL144" i="4"/>
  <c r="DM144" i="4"/>
  <c r="DN144" i="4"/>
  <c r="DO144" i="4"/>
  <c r="DP144" i="4"/>
  <c r="DR144" i="4"/>
  <c r="Q145" i="4"/>
  <c r="AN145" i="4"/>
  <c r="BJ145" i="4" s="1"/>
  <c r="AV145" i="4"/>
  <c r="BR145" i="4" s="1"/>
  <c r="BG145" i="4"/>
  <c r="BH145" i="4"/>
  <c r="BK145" i="4"/>
  <c r="BL145" i="4"/>
  <c r="BM145" i="4"/>
  <c r="BO145" i="4"/>
  <c r="BP145" i="4"/>
  <c r="BQ145" i="4"/>
  <c r="BS145" i="4"/>
  <c r="BT145" i="4"/>
  <c r="BU145" i="4"/>
  <c r="BV145" i="4"/>
  <c r="BW145" i="4"/>
  <c r="BY145" i="4"/>
  <c r="BZ145" i="4"/>
  <c r="CF145" i="4"/>
  <c r="CN145" i="4"/>
  <c r="DC145" i="4"/>
  <c r="DD145" i="4"/>
  <c r="DE145" i="4"/>
  <c r="DG145" i="4"/>
  <c r="DH145" i="4"/>
  <c r="DJ145" i="4"/>
  <c r="DK145" i="4"/>
  <c r="DL145" i="4"/>
  <c r="DM145" i="4"/>
  <c r="DN145" i="4"/>
  <c r="DO145" i="4"/>
  <c r="DP145" i="4"/>
  <c r="DR145" i="4"/>
  <c r="H146" i="4"/>
  <c r="I146" i="4"/>
  <c r="M146" i="4"/>
  <c r="Q146" i="4"/>
  <c r="AJ146" i="4"/>
  <c r="AI146" i="4" s="1"/>
  <c r="BE146" i="4"/>
  <c r="BG146" i="4"/>
  <c r="BH146" i="4"/>
  <c r="BJ146" i="4"/>
  <c r="BK146" i="4"/>
  <c r="BL146" i="4"/>
  <c r="BM146" i="4"/>
  <c r="BO146" i="4"/>
  <c r="BP146" i="4"/>
  <c r="BQ146" i="4"/>
  <c r="BR146" i="4"/>
  <c r="BS146" i="4"/>
  <c r="BT146" i="4"/>
  <c r="BU146" i="4"/>
  <c r="BV146" i="4"/>
  <c r="BW146" i="4"/>
  <c r="BY146" i="4"/>
  <c r="BZ146" i="4"/>
  <c r="CA146" i="4"/>
  <c r="CW146" i="4" s="1"/>
  <c r="CB146" i="4"/>
  <c r="DB146" i="4"/>
  <c r="DC146" i="4"/>
  <c r="DC192" i="4" s="1"/>
  <c r="DD146" i="4"/>
  <c r="DE146" i="4"/>
  <c r="DG146" i="4"/>
  <c r="DH146" i="4"/>
  <c r="DJ146" i="4"/>
  <c r="DK146" i="4"/>
  <c r="DL146" i="4"/>
  <c r="DM146" i="4"/>
  <c r="DN146" i="4"/>
  <c r="DO146" i="4"/>
  <c r="DP146" i="4"/>
  <c r="DQ146" i="4"/>
  <c r="DR146" i="4"/>
  <c r="M147" i="4"/>
  <c r="Q147" i="4"/>
  <c r="AN147" i="4"/>
  <c r="BJ147" i="4" s="1"/>
  <c r="BG147" i="4"/>
  <c r="BH147" i="4"/>
  <c r="BK147" i="4"/>
  <c r="BL147" i="4"/>
  <c r="BM147" i="4"/>
  <c r="BO147" i="4"/>
  <c r="BP147" i="4"/>
  <c r="BQ147" i="4"/>
  <c r="BR147" i="4"/>
  <c r="BR192" i="4" s="1"/>
  <c r="BS147" i="4"/>
  <c r="BT147" i="4"/>
  <c r="BU147" i="4"/>
  <c r="BV147" i="4"/>
  <c r="BW147" i="4"/>
  <c r="BY147" i="4"/>
  <c r="BZ147" i="4"/>
  <c r="CF147" i="4"/>
  <c r="CB147" i="4" s="1"/>
  <c r="H147" i="4" s="1"/>
  <c r="DC147" i="4"/>
  <c r="DD147" i="4"/>
  <c r="DE147" i="4"/>
  <c r="DG147" i="4"/>
  <c r="DH147" i="4"/>
  <c r="DJ147" i="4"/>
  <c r="DK147" i="4"/>
  <c r="DL147" i="4"/>
  <c r="DM147" i="4"/>
  <c r="DN147" i="4"/>
  <c r="DO147" i="4"/>
  <c r="DP147" i="4"/>
  <c r="DQ147" i="4"/>
  <c r="DR147" i="4"/>
  <c r="Q148" i="4"/>
  <c r="M148" i="4" s="1"/>
  <c r="AN148" i="4"/>
  <c r="AJ148" i="4" s="1"/>
  <c r="AI148" i="4" s="1"/>
  <c r="BE148" i="4" s="1"/>
  <c r="BG148" i="4"/>
  <c r="BH148" i="4"/>
  <c r="BJ148" i="4"/>
  <c r="BK148" i="4"/>
  <c r="BL148" i="4"/>
  <c r="BM148" i="4"/>
  <c r="BO148" i="4"/>
  <c r="BP148" i="4"/>
  <c r="BQ148" i="4"/>
  <c r="BR148" i="4"/>
  <c r="BS148" i="4"/>
  <c r="BT148" i="4"/>
  <c r="BU148" i="4"/>
  <c r="BV148" i="4"/>
  <c r="BW148" i="4"/>
  <c r="BY148" i="4"/>
  <c r="BZ148" i="4"/>
  <c r="CB148" i="4"/>
  <c r="DB148" i="4"/>
  <c r="DC148" i="4"/>
  <c r="DD148" i="4"/>
  <c r="DE148" i="4"/>
  <c r="DG148" i="4"/>
  <c r="DH148" i="4"/>
  <c r="DJ148" i="4"/>
  <c r="DK148" i="4"/>
  <c r="DL148" i="4"/>
  <c r="DM148" i="4"/>
  <c r="DN148" i="4"/>
  <c r="DO148" i="4"/>
  <c r="DP148" i="4"/>
  <c r="DQ148" i="4"/>
  <c r="DR148" i="4"/>
  <c r="M149" i="4"/>
  <c r="Q149" i="4"/>
  <c r="R149" i="4"/>
  <c r="AN149" i="4"/>
  <c r="AJ149" i="4" s="1"/>
  <c r="BG149" i="4"/>
  <c r="BH149" i="4"/>
  <c r="BK149" i="4"/>
  <c r="BL149" i="4"/>
  <c r="BM149" i="4"/>
  <c r="BO149" i="4"/>
  <c r="BP149" i="4"/>
  <c r="BQ149" i="4"/>
  <c r="BR149" i="4"/>
  <c r="BS149" i="4"/>
  <c r="BT149" i="4"/>
  <c r="BU149" i="4"/>
  <c r="BV149" i="4"/>
  <c r="BW149" i="4"/>
  <c r="BY149" i="4"/>
  <c r="BZ149" i="4"/>
  <c r="CF149" i="4"/>
  <c r="CB149" i="4" s="1"/>
  <c r="DC149" i="4"/>
  <c r="DD149" i="4"/>
  <c r="DE149" i="4"/>
  <c r="DG149" i="4"/>
  <c r="DH149" i="4"/>
  <c r="DJ149" i="4"/>
  <c r="DK149" i="4"/>
  <c r="DK192" i="4" s="1"/>
  <c r="DL149" i="4"/>
  <c r="DM149" i="4"/>
  <c r="DN149" i="4"/>
  <c r="DO149" i="4"/>
  <c r="DP149" i="4"/>
  <c r="DQ149" i="4"/>
  <c r="DR149" i="4"/>
  <c r="M150" i="4"/>
  <c r="Q150" i="4"/>
  <c r="AN150" i="4"/>
  <c r="AJ150" i="4" s="1"/>
  <c r="BG150" i="4"/>
  <c r="BH150" i="4"/>
  <c r="BK150" i="4"/>
  <c r="BL150" i="4"/>
  <c r="BM150" i="4"/>
  <c r="BO150" i="4"/>
  <c r="BP150" i="4"/>
  <c r="BP192" i="4" s="1"/>
  <c r="BQ150" i="4"/>
  <c r="BR150" i="4"/>
  <c r="BS150" i="4"/>
  <c r="BT150" i="4"/>
  <c r="BU150" i="4"/>
  <c r="BV150" i="4"/>
  <c r="BW150" i="4"/>
  <c r="BY150" i="4"/>
  <c r="BZ150" i="4"/>
  <c r="CF150" i="4"/>
  <c r="CB150" i="4" s="1"/>
  <c r="H150" i="4" s="1"/>
  <c r="DC150" i="4"/>
  <c r="DD150" i="4"/>
  <c r="DE150" i="4"/>
  <c r="DG150" i="4"/>
  <c r="DH150" i="4"/>
  <c r="DJ150" i="4"/>
  <c r="DK150" i="4"/>
  <c r="DL150" i="4"/>
  <c r="DM150" i="4"/>
  <c r="DN150" i="4"/>
  <c r="DO150" i="4"/>
  <c r="DP150" i="4"/>
  <c r="DQ150" i="4"/>
  <c r="DR150" i="4"/>
  <c r="H151" i="4"/>
  <c r="I151" i="4"/>
  <c r="M151" i="4"/>
  <c r="Q151" i="4"/>
  <c r="AN151" i="4"/>
  <c r="BJ151" i="4" s="1"/>
  <c r="BG151" i="4"/>
  <c r="BH151" i="4"/>
  <c r="BK151" i="4"/>
  <c r="BL151" i="4"/>
  <c r="BM151" i="4"/>
  <c r="BO151" i="4"/>
  <c r="BP151" i="4"/>
  <c r="BQ151" i="4"/>
  <c r="BR151" i="4"/>
  <c r="BS151" i="4"/>
  <c r="BT151" i="4"/>
  <c r="BU151" i="4"/>
  <c r="BV151" i="4"/>
  <c r="BW151" i="4"/>
  <c r="BY151" i="4"/>
  <c r="BZ151" i="4"/>
  <c r="CA151" i="4"/>
  <c r="CW151" i="4" s="1"/>
  <c r="CB151" i="4"/>
  <c r="DB151" i="4"/>
  <c r="DC151" i="4"/>
  <c r="DD151" i="4"/>
  <c r="DE151" i="4"/>
  <c r="DG151" i="4"/>
  <c r="DH151" i="4"/>
  <c r="DJ151" i="4"/>
  <c r="DK151" i="4"/>
  <c r="DL151" i="4"/>
  <c r="DM151" i="4"/>
  <c r="DN151" i="4"/>
  <c r="DO151" i="4"/>
  <c r="DP151" i="4"/>
  <c r="DQ151" i="4"/>
  <c r="DR151" i="4"/>
  <c r="H152" i="4"/>
  <c r="AG152" i="4"/>
  <c r="BZ152" i="4" s="1"/>
  <c r="AJ152" i="4"/>
  <c r="BD152" i="4"/>
  <c r="BG152" i="4"/>
  <c r="BH152" i="4"/>
  <c r="BJ152" i="4"/>
  <c r="BK152" i="4"/>
  <c r="BL152" i="4"/>
  <c r="BM152" i="4"/>
  <c r="BO152" i="4"/>
  <c r="BO192" i="4" s="1"/>
  <c r="BP152" i="4"/>
  <c r="BQ152" i="4"/>
  <c r="BR152" i="4"/>
  <c r="BS152" i="4"/>
  <c r="BT152" i="4"/>
  <c r="BU152" i="4"/>
  <c r="BV152" i="4"/>
  <c r="BW152" i="4"/>
  <c r="BW192" i="4" s="1"/>
  <c r="BY152" i="4"/>
  <c r="CB152" i="4"/>
  <c r="DB152" i="4"/>
  <c r="DC152" i="4"/>
  <c r="DD152" i="4"/>
  <c r="DE152" i="4"/>
  <c r="DG152" i="4"/>
  <c r="DH152" i="4"/>
  <c r="DJ152" i="4"/>
  <c r="DK152" i="4"/>
  <c r="DL152" i="4"/>
  <c r="DM152" i="4"/>
  <c r="DN152" i="4"/>
  <c r="DO152" i="4"/>
  <c r="DP152" i="4"/>
  <c r="DQ152" i="4"/>
  <c r="DR152" i="4"/>
  <c r="Q153" i="4"/>
  <c r="AJ153" i="4"/>
  <c r="BG153" i="4"/>
  <c r="BH153" i="4"/>
  <c r="BK153" i="4"/>
  <c r="BL153" i="4"/>
  <c r="BM153" i="4"/>
  <c r="BO153" i="4"/>
  <c r="BP153" i="4"/>
  <c r="BQ153" i="4"/>
  <c r="BR153" i="4"/>
  <c r="BS153" i="4"/>
  <c r="BT153" i="4"/>
  <c r="BU153" i="4"/>
  <c r="BV153" i="4"/>
  <c r="BW153" i="4"/>
  <c r="BY153" i="4"/>
  <c r="BZ153" i="4"/>
  <c r="CB153" i="4"/>
  <c r="H153" i="4" s="1"/>
  <c r="DC153" i="4"/>
  <c r="DD153" i="4"/>
  <c r="DE153" i="4"/>
  <c r="DG153" i="4"/>
  <c r="DH153" i="4"/>
  <c r="DJ153" i="4"/>
  <c r="DK153" i="4"/>
  <c r="DL153" i="4"/>
  <c r="DM153" i="4"/>
  <c r="DN153" i="4"/>
  <c r="DO153" i="4"/>
  <c r="DP153" i="4"/>
  <c r="DQ153" i="4"/>
  <c r="DR153" i="4"/>
  <c r="Q154" i="4"/>
  <c r="T154" i="4"/>
  <c r="AN154" i="4"/>
  <c r="AJ154" i="4" s="1"/>
  <c r="BG154" i="4"/>
  <c r="BH154" i="4"/>
  <c r="BK154" i="4"/>
  <c r="BL154" i="4"/>
  <c r="BM154" i="4"/>
  <c r="BO154" i="4"/>
  <c r="BP154" i="4"/>
  <c r="BQ154" i="4"/>
  <c r="BR154" i="4"/>
  <c r="BS154" i="4"/>
  <c r="BT154" i="4"/>
  <c r="BU154" i="4"/>
  <c r="BV154" i="4"/>
  <c r="BW154" i="4"/>
  <c r="BY154" i="4"/>
  <c r="BZ154" i="4"/>
  <c r="CB154" i="4"/>
  <c r="CF154" i="4"/>
  <c r="DC154" i="4"/>
  <c r="DD154" i="4"/>
  <c r="DE154" i="4"/>
  <c r="DG154" i="4"/>
  <c r="DH154" i="4"/>
  <c r="DJ154" i="4"/>
  <c r="DK154" i="4"/>
  <c r="DL154" i="4"/>
  <c r="DM154" i="4"/>
  <c r="DN154" i="4"/>
  <c r="DO154" i="4"/>
  <c r="DP154" i="4"/>
  <c r="DQ154" i="4"/>
  <c r="DR154" i="4"/>
  <c r="H155" i="4"/>
  <c r="O155" i="4"/>
  <c r="Q155" i="4"/>
  <c r="DB155" i="4" s="1"/>
  <c r="T155" i="4"/>
  <c r="T192" i="4" s="1"/>
  <c r="T197" i="4" s="1"/>
  <c r="AJ155" i="4"/>
  <c r="BG155" i="4"/>
  <c r="BH155" i="4"/>
  <c r="BJ155" i="4"/>
  <c r="BK155" i="4"/>
  <c r="BL155" i="4"/>
  <c r="BO155" i="4"/>
  <c r="BP155" i="4"/>
  <c r="BQ155" i="4"/>
  <c r="BR155" i="4"/>
  <c r="BS155" i="4"/>
  <c r="BT155" i="4"/>
  <c r="BU155" i="4"/>
  <c r="BV155" i="4"/>
  <c r="BW155" i="4"/>
  <c r="BX155" i="4"/>
  <c r="BY155" i="4"/>
  <c r="BZ155" i="4"/>
  <c r="CB155" i="4"/>
  <c r="CZ155" i="4"/>
  <c r="DA155" i="4"/>
  <c r="DC155" i="4"/>
  <c r="DD155" i="4"/>
  <c r="DE155" i="4"/>
  <c r="DG155" i="4"/>
  <c r="DH155" i="4"/>
  <c r="DJ155" i="4"/>
  <c r="DK155" i="4"/>
  <c r="DL155" i="4"/>
  <c r="DM155" i="4"/>
  <c r="DN155" i="4"/>
  <c r="DO155" i="4"/>
  <c r="DP155" i="4"/>
  <c r="DQ155" i="4"/>
  <c r="DR155" i="4"/>
  <c r="AG156" i="4"/>
  <c r="BD156" i="4"/>
  <c r="AJ156" i="4" s="1"/>
  <c r="BG156" i="4"/>
  <c r="BH156" i="4"/>
  <c r="BJ156" i="4"/>
  <c r="BK156" i="4"/>
  <c r="BL156" i="4"/>
  <c r="BM156" i="4"/>
  <c r="BO156" i="4"/>
  <c r="BP156" i="4"/>
  <c r="BQ156" i="4"/>
  <c r="BR156" i="4"/>
  <c r="BS156" i="4"/>
  <c r="BT156" i="4"/>
  <c r="BU156" i="4"/>
  <c r="BV156" i="4"/>
  <c r="BW156" i="4"/>
  <c r="BY156" i="4"/>
  <c r="CV156" i="4"/>
  <c r="DB156" i="4"/>
  <c r="DC156" i="4"/>
  <c r="DD156" i="4"/>
  <c r="DE156" i="4"/>
  <c r="DG156" i="4"/>
  <c r="DH156" i="4"/>
  <c r="DJ156" i="4"/>
  <c r="DK156" i="4"/>
  <c r="DL156" i="4"/>
  <c r="DM156" i="4"/>
  <c r="DN156" i="4"/>
  <c r="DO156" i="4"/>
  <c r="DP156" i="4"/>
  <c r="DQ156" i="4"/>
  <c r="DQ192" i="4" s="1"/>
  <c r="M157" i="4"/>
  <c r="AG157" i="4"/>
  <c r="BD157" i="4"/>
  <c r="AJ157" i="4" s="1"/>
  <c r="AI157" i="4" s="1"/>
  <c r="BE157" i="4" s="1"/>
  <c r="BG157" i="4"/>
  <c r="BH157" i="4"/>
  <c r="BJ157" i="4"/>
  <c r="BK157" i="4"/>
  <c r="BL157" i="4"/>
  <c r="BM157" i="4"/>
  <c r="BO157" i="4"/>
  <c r="BP157" i="4"/>
  <c r="BQ157" i="4"/>
  <c r="BR157" i="4"/>
  <c r="BS157" i="4"/>
  <c r="BT157" i="4"/>
  <c r="BU157" i="4"/>
  <c r="BV157" i="4"/>
  <c r="BW157" i="4"/>
  <c r="BY157" i="4"/>
  <c r="CV157" i="4"/>
  <c r="CB157" i="4" s="1"/>
  <c r="CA157" i="4" s="1"/>
  <c r="CW157" i="4" s="1"/>
  <c r="DB157" i="4"/>
  <c r="DC157" i="4"/>
  <c r="DD157" i="4"/>
  <c r="DE157" i="4"/>
  <c r="DG157" i="4"/>
  <c r="DH157" i="4"/>
  <c r="DJ157" i="4"/>
  <c r="DK157" i="4"/>
  <c r="DL157" i="4"/>
  <c r="DM157" i="4"/>
  <c r="DN157" i="4"/>
  <c r="DO157" i="4"/>
  <c r="DP157" i="4"/>
  <c r="DQ157" i="4"/>
  <c r="H158" i="4"/>
  <c r="O158" i="4"/>
  <c r="O192" i="4" s="1"/>
  <c r="O197" i="4" s="1"/>
  <c r="O199" i="4" s="1"/>
  <c r="Q158" i="4"/>
  <c r="DB158" i="4" s="1"/>
  <c r="T158" i="4"/>
  <c r="AJ158" i="4"/>
  <c r="BG158" i="4"/>
  <c r="BJ158" i="4"/>
  <c r="BK158" i="4"/>
  <c r="BL158" i="4"/>
  <c r="BM158" i="4"/>
  <c r="BO158" i="4"/>
  <c r="BP158" i="4"/>
  <c r="BQ158" i="4"/>
  <c r="BR158" i="4"/>
  <c r="BS158" i="4"/>
  <c r="BT158" i="4"/>
  <c r="BU158" i="4"/>
  <c r="BV158" i="4"/>
  <c r="BW158" i="4"/>
  <c r="BY158" i="4"/>
  <c r="BZ158" i="4"/>
  <c r="CB158" i="4"/>
  <c r="DA158" i="4"/>
  <c r="DC158" i="4"/>
  <c r="DD158" i="4"/>
  <c r="DE158" i="4"/>
  <c r="DG158" i="4"/>
  <c r="DH158" i="4"/>
  <c r="DJ158" i="4"/>
  <c r="DK158" i="4"/>
  <c r="DL158" i="4"/>
  <c r="DM158" i="4"/>
  <c r="DN158" i="4"/>
  <c r="DO158" i="4"/>
  <c r="DP158" i="4"/>
  <c r="DQ158" i="4"/>
  <c r="DR158" i="4"/>
  <c r="Q159" i="4"/>
  <c r="T159" i="4"/>
  <c r="AN159" i="4"/>
  <c r="AJ159" i="4" s="1"/>
  <c r="BG159" i="4"/>
  <c r="BH159" i="4"/>
  <c r="BK159" i="4"/>
  <c r="BL159" i="4"/>
  <c r="BM159" i="4"/>
  <c r="BO159" i="4"/>
  <c r="BP159" i="4"/>
  <c r="BQ159" i="4"/>
  <c r="BR159" i="4"/>
  <c r="BS159" i="4"/>
  <c r="BT159" i="4"/>
  <c r="BU159" i="4"/>
  <c r="BV159" i="4"/>
  <c r="BW159" i="4"/>
  <c r="BY159" i="4"/>
  <c r="BZ159" i="4"/>
  <c r="CF159" i="4"/>
  <c r="CB159" i="4" s="1"/>
  <c r="H159" i="4" s="1"/>
  <c r="DC159" i="4"/>
  <c r="DD159" i="4"/>
  <c r="DE159" i="4"/>
  <c r="DG159" i="4"/>
  <c r="DH159" i="4"/>
  <c r="DJ159" i="4"/>
  <c r="DK159" i="4"/>
  <c r="DL159" i="4"/>
  <c r="DL192" i="4" s="1"/>
  <c r="DM159" i="4"/>
  <c r="DN159" i="4"/>
  <c r="DO159" i="4"/>
  <c r="DP159" i="4"/>
  <c r="DQ159" i="4"/>
  <c r="DR159" i="4"/>
  <c r="Q160" i="4"/>
  <c r="T160" i="4"/>
  <c r="DE160" i="4" s="1"/>
  <c r="AG160" i="4"/>
  <c r="AN160" i="4"/>
  <c r="BD160" i="4"/>
  <c r="BG160" i="4"/>
  <c r="BH160" i="4"/>
  <c r="BK160" i="4"/>
  <c r="BL160" i="4"/>
  <c r="BO160" i="4"/>
  <c r="BP160" i="4"/>
  <c r="BQ160" i="4"/>
  <c r="BR160" i="4"/>
  <c r="BS160" i="4"/>
  <c r="BT160" i="4"/>
  <c r="BU160" i="4"/>
  <c r="BV160" i="4"/>
  <c r="BW160" i="4"/>
  <c r="BY160" i="4"/>
  <c r="CF160" i="4"/>
  <c r="CV160" i="4"/>
  <c r="DR160" i="4" s="1"/>
  <c r="DC160" i="4"/>
  <c r="DD160" i="4"/>
  <c r="DG160" i="4"/>
  <c r="DH160" i="4"/>
  <c r="DJ160" i="4"/>
  <c r="DK160" i="4"/>
  <c r="DL160" i="4"/>
  <c r="DM160" i="4"/>
  <c r="DN160" i="4"/>
  <c r="DO160" i="4"/>
  <c r="DP160" i="4"/>
  <c r="DQ160" i="4"/>
  <c r="M161" i="4"/>
  <c r="CA161" i="4" s="1"/>
  <c r="CW161" i="4" s="1"/>
  <c r="AG161" i="4"/>
  <c r="BD161" i="4"/>
  <c r="AJ161" i="4" s="1"/>
  <c r="BG161" i="4"/>
  <c r="BH161" i="4"/>
  <c r="BJ161" i="4"/>
  <c r="BK161" i="4"/>
  <c r="BL161" i="4"/>
  <c r="BM161" i="4"/>
  <c r="BO161" i="4"/>
  <c r="BP161" i="4"/>
  <c r="BQ161" i="4"/>
  <c r="BR161" i="4"/>
  <c r="BS161" i="4"/>
  <c r="BT161" i="4"/>
  <c r="BU161" i="4"/>
  <c r="BV161" i="4"/>
  <c r="BW161" i="4"/>
  <c r="BY161" i="4"/>
  <c r="CB161" i="4"/>
  <c r="H161" i="4" s="1"/>
  <c r="CV161" i="4"/>
  <c r="DB161" i="4"/>
  <c r="DC161" i="4"/>
  <c r="DD161" i="4"/>
  <c r="DE161" i="4"/>
  <c r="DG161" i="4"/>
  <c r="DH161" i="4"/>
  <c r="DJ161" i="4"/>
  <c r="DK161" i="4"/>
  <c r="DL161" i="4"/>
  <c r="DM161" i="4"/>
  <c r="DN161" i="4"/>
  <c r="DO161" i="4"/>
  <c r="DP161" i="4"/>
  <c r="DQ161" i="4"/>
  <c r="DR161" i="4"/>
  <c r="M162" i="4"/>
  <c r="AP162" i="4"/>
  <c r="AP192" i="4" s="1"/>
  <c r="AZ162" i="4"/>
  <c r="AZ192" i="4" s="1"/>
  <c r="BG162" i="4"/>
  <c r="BH162" i="4"/>
  <c r="BJ162" i="4"/>
  <c r="BK162" i="4"/>
  <c r="BM162" i="4"/>
  <c r="BO162" i="4"/>
  <c r="BP162" i="4"/>
  <c r="BQ162" i="4"/>
  <c r="BR162" i="4"/>
  <c r="BS162" i="4"/>
  <c r="BT162" i="4"/>
  <c r="BU162" i="4"/>
  <c r="BW162" i="4"/>
  <c r="BY162" i="4"/>
  <c r="BZ162" i="4"/>
  <c r="CH162" i="4"/>
  <c r="DD162" i="4" s="1"/>
  <c r="CR162" i="4"/>
  <c r="DN162" i="4" s="1"/>
  <c r="DB162" i="4"/>
  <c r="DC162" i="4"/>
  <c r="DE162" i="4"/>
  <c r="DG162" i="4"/>
  <c r="DH162" i="4"/>
  <c r="DJ162" i="4"/>
  <c r="DK162" i="4"/>
  <c r="DL162" i="4"/>
  <c r="DM162" i="4"/>
  <c r="DO162" i="4"/>
  <c r="DP162" i="4"/>
  <c r="DQ162" i="4"/>
  <c r="DR162" i="4"/>
  <c r="Q163" i="4"/>
  <c r="T163" i="4"/>
  <c r="AG163" i="4"/>
  <c r="BD163" i="4"/>
  <c r="AJ163" i="4" s="1"/>
  <c r="BG163" i="4"/>
  <c r="BH163" i="4"/>
  <c r="BJ163" i="4"/>
  <c r="BK163" i="4"/>
  <c r="BL163" i="4"/>
  <c r="BO163" i="4"/>
  <c r="BP163" i="4"/>
  <c r="BQ163" i="4"/>
  <c r="BR163" i="4"/>
  <c r="BS163" i="4"/>
  <c r="BT163" i="4"/>
  <c r="BU163" i="4"/>
  <c r="BV163" i="4"/>
  <c r="BW163" i="4"/>
  <c r="BY163" i="4"/>
  <c r="CB163" i="4"/>
  <c r="H163" i="4" s="1"/>
  <c r="DB163" i="4"/>
  <c r="DC163" i="4"/>
  <c r="DD163" i="4"/>
  <c r="DG163" i="4"/>
  <c r="DH163" i="4"/>
  <c r="DJ163" i="4"/>
  <c r="DK163" i="4"/>
  <c r="DL163" i="4"/>
  <c r="DM163" i="4"/>
  <c r="DN163" i="4"/>
  <c r="DO163" i="4"/>
  <c r="DP163" i="4"/>
  <c r="DQ163" i="4"/>
  <c r="AG164" i="4"/>
  <c r="BD164" i="4"/>
  <c r="AJ164" i="4" s="1"/>
  <c r="BG164" i="4"/>
  <c r="BH164" i="4"/>
  <c r="BJ164" i="4"/>
  <c r="BK164" i="4"/>
  <c r="BL164" i="4"/>
  <c r="BM164" i="4"/>
  <c r="BO164" i="4"/>
  <c r="BP164" i="4"/>
  <c r="BQ164" i="4"/>
  <c r="BR164" i="4"/>
  <c r="BS164" i="4"/>
  <c r="BT164" i="4"/>
  <c r="BU164" i="4"/>
  <c r="BU192" i="4" s="1"/>
  <c r="BV164" i="4"/>
  <c r="BW164" i="4"/>
  <c r="BY164" i="4"/>
  <c r="CV164" i="4"/>
  <c r="CB164" i="4" s="1"/>
  <c r="DB164" i="4"/>
  <c r="DC164" i="4"/>
  <c r="DD164" i="4"/>
  <c r="DE164" i="4"/>
  <c r="DG164" i="4"/>
  <c r="DH164" i="4"/>
  <c r="DJ164" i="4"/>
  <c r="DK164" i="4"/>
  <c r="DL164" i="4"/>
  <c r="DM164" i="4"/>
  <c r="DN164" i="4"/>
  <c r="DO164" i="4"/>
  <c r="DP164" i="4"/>
  <c r="DQ164" i="4"/>
  <c r="H165" i="4"/>
  <c r="I165" i="4" s="1"/>
  <c r="M165" i="4"/>
  <c r="BC165" i="4"/>
  <c r="AJ165" i="4" s="1"/>
  <c r="AI165" i="4" s="1"/>
  <c r="BE165" i="4" s="1"/>
  <c r="BG165" i="4"/>
  <c r="BH165" i="4"/>
  <c r="BJ165" i="4"/>
  <c r="BK165" i="4"/>
  <c r="BL165" i="4"/>
  <c r="BM165" i="4"/>
  <c r="BO165" i="4"/>
  <c r="BP165" i="4"/>
  <c r="BQ165" i="4"/>
  <c r="BR165" i="4"/>
  <c r="BS165" i="4"/>
  <c r="BT165" i="4"/>
  <c r="BU165" i="4"/>
  <c r="BV165" i="4"/>
  <c r="BW165" i="4"/>
  <c r="BZ165" i="4"/>
  <c r="CA165" i="4"/>
  <c r="CB165" i="4"/>
  <c r="CW165" i="4"/>
  <c r="DB165" i="4"/>
  <c r="DC165" i="4"/>
  <c r="DD165" i="4"/>
  <c r="DE165" i="4"/>
  <c r="DG165" i="4"/>
  <c r="DH165" i="4"/>
  <c r="DJ165" i="4"/>
  <c r="DK165" i="4"/>
  <c r="DL165" i="4"/>
  <c r="DM165" i="4"/>
  <c r="DN165" i="4"/>
  <c r="DO165" i="4"/>
  <c r="DP165" i="4"/>
  <c r="DQ165" i="4"/>
  <c r="DR165" i="4"/>
  <c r="H166" i="4"/>
  <c r="Q166" i="4"/>
  <c r="AJ166" i="4"/>
  <c r="BJ166" i="4"/>
  <c r="BF166" i="4" s="1"/>
  <c r="CB166" i="4"/>
  <c r="Q167" i="4"/>
  <c r="BJ167" i="4" s="1"/>
  <c r="BF167" i="4" s="1"/>
  <c r="AJ167" i="4"/>
  <c r="CB167" i="4"/>
  <c r="DB167" i="4"/>
  <c r="CX167" i="4" s="1"/>
  <c r="H168" i="4"/>
  <c r="Q168" i="4"/>
  <c r="M168" i="4" s="1"/>
  <c r="AJ168" i="4"/>
  <c r="CA168" i="4"/>
  <c r="CB168" i="4"/>
  <c r="M169" i="4"/>
  <c r="S169" i="4"/>
  <c r="AP169" i="4"/>
  <c r="BL169" i="4" s="1"/>
  <c r="AZ169" i="4"/>
  <c r="BV169" i="4" s="1"/>
  <c r="BG169" i="4"/>
  <c r="BH169" i="4"/>
  <c r="BJ169" i="4"/>
  <c r="BK169" i="4"/>
  <c r="BM169" i="4"/>
  <c r="BO169" i="4"/>
  <c r="BP169" i="4"/>
  <c r="BQ169" i="4"/>
  <c r="BR169" i="4"/>
  <c r="BS169" i="4"/>
  <c r="BT169" i="4"/>
  <c r="BU169" i="4"/>
  <c r="BW169" i="4"/>
  <c r="BY169" i="4"/>
  <c r="BZ169" i="4"/>
  <c r="CH169" i="4"/>
  <c r="DD169" i="4" s="1"/>
  <c r="CZ169" i="4"/>
  <c r="DB169" i="4"/>
  <c r="DC169" i="4"/>
  <c r="DE169" i="4"/>
  <c r="DG169" i="4"/>
  <c r="DH169" i="4"/>
  <c r="DJ169" i="4"/>
  <c r="DK169" i="4"/>
  <c r="DL169" i="4"/>
  <c r="DM169" i="4"/>
  <c r="DN169" i="4"/>
  <c r="DO169" i="4"/>
  <c r="DP169" i="4"/>
  <c r="DQ169" i="4"/>
  <c r="DR169" i="4"/>
  <c r="Q170" i="4"/>
  <c r="DB170" i="4" s="1"/>
  <c r="S170" i="4"/>
  <c r="AZ170" i="4"/>
  <c r="BV170" i="4" s="1"/>
  <c r="BG170" i="4"/>
  <c r="BH170" i="4"/>
  <c r="BJ170" i="4"/>
  <c r="BK170" i="4"/>
  <c r="BM170" i="4"/>
  <c r="BO170" i="4"/>
  <c r="BP170" i="4"/>
  <c r="BQ170" i="4"/>
  <c r="BR170" i="4"/>
  <c r="BS170" i="4"/>
  <c r="BT170" i="4"/>
  <c r="BU170" i="4"/>
  <c r="BW170" i="4"/>
  <c r="BY170" i="4"/>
  <c r="BZ170" i="4"/>
  <c r="CB170" i="4"/>
  <c r="DC170" i="4"/>
  <c r="DE170" i="4"/>
  <c r="DG170" i="4"/>
  <c r="DH170" i="4"/>
  <c r="DJ170" i="4"/>
  <c r="DK170" i="4"/>
  <c r="DL170" i="4"/>
  <c r="DM170" i="4"/>
  <c r="DN170" i="4"/>
  <c r="DO170" i="4"/>
  <c r="DP170" i="4"/>
  <c r="DQ170" i="4"/>
  <c r="DR170" i="4"/>
  <c r="H171" i="4"/>
  <c r="M171" i="4"/>
  <c r="CA171" i="4" s="1"/>
  <c r="CW171" i="4" s="1"/>
  <c r="AJ171" i="4"/>
  <c r="AI171" i="4" s="1"/>
  <c r="BE171" i="4" s="1"/>
  <c r="BG171" i="4"/>
  <c r="BH171" i="4"/>
  <c r="BJ171" i="4"/>
  <c r="BK171" i="4"/>
  <c r="BL171" i="4"/>
  <c r="BM171" i="4"/>
  <c r="BO171" i="4"/>
  <c r="BP171" i="4"/>
  <c r="BF171" i="4" s="1"/>
  <c r="BQ171" i="4"/>
  <c r="BR171" i="4"/>
  <c r="BS171" i="4"/>
  <c r="BT171" i="4"/>
  <c r="BU171" i="4"/>
  <c r="BV171" i="4"/>
  <c r="BW171" i="4"/>
  <c r="BY171" i="4"/>
  <c r="BZ171" i="4"/>
  <c r="CB171" i="4"/>
  <c r="DB171" i="4"/>
  <c r="DC171" i="4"/>
  <c r="DD171" i="4"/>
  <c r="DE171" i="4"/>
  <c r="CX171" i="4" s="1"/>
  <c r="DG171" i="4"/>
  <c r="DH171" i="4"/>
  <c r="DJ171" i="4"/>
  <c r="DK171" i="4"/>
  <c r="DL171" i="4"/>
  <c r="DM171" i="4"/>
  <c r="DN171" i="4"/>
  <c r="DO171" i="4"/>
  <c r="DP171" i="4"/>
  <c r="DQ171" i="4"/>
  <c r="DR171" i="4"/>
  <c r="H172" i="4"/>
  <c r="Q172" i="4"/>
  <c r="AJ172" i="4"/>
  <c r="BG172" i="4"/>
  <c r="BH172" i="4"/>
  <c r="BK172" i="4"/>
  <c r="BL172" i="4"/>
  <c r="BM172" i="4"/>
  <c r="BO172" i="4"/>
  <c r="BP172" i="4"/>
  <c r="BQ172" i="4"/>
  <c r="BR172" i="4"/>
  <c r="BS172" i="4"/>
  <c r="BT172" i="4"/>
  <c r="BU172" i="4"/>
  <c r="BV172" i="4"/>
  <c r="BW172" i="4"/>
  <c r="BY172" i="4"/>
  <c r="BZ172" i="4"/>
  <c r="CB172" i="4"/>
  <c r="DC172" i="4"/>
  <c r="DD172" i="4"/>
  <c r="DE172" i="4"/>
  <c r="DG172" i="4"/>
  <c r="DH172" i="4"/>
  <c r="DJ172" i="4"/>
  <c r="DK172" i="4"/>
  <c r="DL172" i="4"/>
  <c r="DM172" i="4"/>
  <c r="DN172" i="4"/>
  <c r="DO172" i="4"/>
  <c r="DP172" i="4"/>
  <c r="DQ172" i="4"/>
  <c r="DR172" i="4"/>
  <c r="H173" i="4"/>
  <c r="Q173" i="4"/>
  <c r="M173" i="4" s="1"/>
  <c r="AJ173" i="4"/>
  <c r="BG173" i="4"/>
  <c r="BH173" i="4"/>
  <c r="BK173" i="4"/>
  <c r="BL173" i="4"/>
  <c r="BM173" i="4"/>
  <c r="BM195" i="4" s="1"/>
  <c r="BO173" i="4"/>
  <c r="BP173" i="4"/>
  <c r="BQ173" i="4"/>
  <c r="BR173" i="4"/>
  <c r="BS173" i="4"/>
  <c r="BT173" i="4"/>
  <c r="BU173" i="4"/>
  <c r="BV173" i="4"/>
  <c r="BW173" i="4"/>
  <c r="BY173" i="4"/>
  <c r="BZ173" i="4"/>
  <c r="CB173" i="4"/>
  <c r="DB173" i="4"/>
  <c r="DC173" i="4"/>
  <c r="DD173" i="4"/>
  <c r="CX173" i="4" s="1"/>
  <c r="DE173" i="4"/>
  <c r="DG173" i="4"/>
  <c r="DH173" i="4"/>
  <c r="DJ173" i="4"/>
  <c r="DK173" i="4"/>
  <c r="DL173" i="4"/>
  <c r="DM173" i="4"/>
  <c r="DN173" i="4"/>
  <c r="DO173" i="4"/>
  <c r="DP173" i="4"/>
  <c r="DQ173" i="4"/>
  <c r="DR173" i="4"/>
  <c r="H174" i="4"/>
  <c r="Q174" i="4"/>
  <c r="AJ174" i="4"/>
  <c r="BG174" i="4"/>
  <c r="BH174" i="4"/>
  <c r="BK174" i="4"/>
  <c r="BL174" i="4"/>
  <c r="BM174" i="4"/>
  <c r="BO174" i="4"/>
  <c r="BP174" i="4"/>
  <c r="BQ174" i="4"/>
  <c r="BR174" i="4"/>
  <c r="BS174" i="4"/>
  <c r="BT174" i="4"/>
  <c r="BU174" i="4"/>
  <c r="BV174" i="4"/>
  <c r="BW174" i="4"/>
  <c r="BY174" i="4"/>
  <c r="BZ174" i="4"/>
  <c r="CB174" i="4"/>
  <c r="DC174" i="4"/>
  <c r="DD174" i="4"/>
  <c r="DE174" i="4"/>
  <c r="DG174" i="4"/>
  <c r="DH174" i="4"/>
  <c r="DJ174" i="4"/>
  <c r="DK174" i="4"/>
  <c r="DK195" i="4" s="1"/>
  <c r="DL174" i="4"/>
  <c r="DM174" i="4"/>
  <c r="DN174" i="4"/>
  <c r="DO174" i="4"/>
  <c r="DP174" i="4"/>
  <c r="DQ174" i="4"/>
  <c r="DR174" i="4"/>
  <c r="M175" i="4"/>
  <c r="AP175" i="4"/>
  <c r="BL175" i="4" s="1"/>
  <c r="BF175" i="4" s="1"/>
  <c r="BG175" i="4"/>
  <c r="BH175" i="4"/>
  <c r="BJ175" i="4"/>
  <c r="BK175" i="4"/>
  <c r="BM175" i="4"/>
  <c r="BO175" i="4"/>
  <c r="BP175" i="4"/>
  <c r="BQ175" i="4"/>
  <c r="BR175" i="4"/>
  <c r="BS175" i="4"/>
  <c r="BT175" i="4"/>
  <c r="BU175" i="4"/>
  <c r="BV175" i="4"/>
  <c r="BW175" i="4"/>
  <c r="BZ175" i="4"/>
  <c r="CH175" i="4"/>
  <c r="CB175" i="4" s="1"/>
  <c r="DB175" i="4"/>
  <c r="DC175" i="4"/>
  <c r="DD175" i="4"/>
  <c r="DE175" i="4"/>
  <c r="DG175" i="4"/>
  <c r="DH175" i="4"/>
  <c r="DJ175" i="4"/>
  <c r="DK175" i="4"/>
  <c r="DL175" i="4"/>
  <c r="DM175" i="4"/>
  <c r="DN175" i="4"/>
  <c r="DO175" i="4"/>
  <c r="DP175" i="4"/>
  <c r="DQ175" i="4"/>
  <c r="DR175" i="4"/>
  <c r="H176" i="4"/>
  <c r="Q176" i="4"/>
  <c r="AJ176" i="4"/>
  <c r="BG176" i="4"/>
  <c r="BH176" i="4"/>
  <c r="BK176" i="4"/>
  <c r="BL176" i="4"/>
  <c r="BM176" i="4"/>
  <c r="BO176" i="4"/>
  <c r="BP176" i="4"/>
  <c r="BQ176" i="4"/>
  <c r="BR176" i="4"/>
  <c r="BS176" i="4"/>
  <c r="BT176" i="4"/>
  <c r="BU176" i="4"/>
  <c r="BV176" i="4"/>
  <c r="BW176" i="4"/>
  <c r="BZ176" i="4"/>
  <c r="CB176" i="4"/>
  <c r="DB176" i="4"/>
  <c r="DC176" i="4"/>
  <c r="DD176" i="4"/>
  <c r="DE176" i="4"/>
  <c r="DG176" i="4"/>
  <c r="DH176" i="4"/>
  <c r="DJ176" i="4"/>
  <c r="DK176" i="4"/>
  <c r="DL176" i="4"/>
  <c r="DM176" i="4"/>
  <c r="DN176" i="4"/>
  <c r="DO176" i="4"/>
  <c r="DP176" i="4"/>
  <c r="DQ176" i="4"/>
  <c r="DR176" i="4"/>
  <c r="M177" i="4"/>
  <c r="AP177" i="4"/>
  <c r="BG177" i="4"/>
  <c r="BH177" i="4"/>
  <c r="BJ177" i="4"/>
  <c r="BK177" i="4"/>
  <c r="BM177" i="4"/>
  <c r="BO177" i="4"/>
  <c r="BP177" i="4"/>
  <c r="BQ177" i="4"/>
  <c r="BR177" i="4"/>
  <c r="BS177" i="4"/>
  <c r="BT177" i="4"/>
  <c r="BU177" i="4"/>
  <c r="BV177" i="4"/>
  <c r="BW177" i="4"/>
  <c r="BZ177" i="4"/>
  <c r="CH177" i="4"/>
  <c r="DD177" i="4" s="1"/>
  <c r="DB177" i="4"/>
  <c r="DC177" i="4"/>
  <c r="DE177" i="4"/>
  <c r="DG177" i="4"/>
  <c r="DH177" i="4"/>
  <c r="DJ177" i="4"/>
  <c r="DK177" i="4"/>
  <c r="DL177" i="4"/>
  <c r="DM177" i="4"/>
  <c r="DN177" i="4"/>
  <c r="DO177" i="4"/>
  <c r="DP177" i="4"/>
  <c r="DQ177" i="4"/>
  <c r="DR177" i="4"/>
  <c r="M178" i="4"/>
  <c r="AJ178" i="4"/>
  <c r="BG178" i="4"/>
  <c r="BH178" i="4"/>
  <c r="BF178" i="4" s="1"/>
  <c r="BJ178" i="4"/>
  <c r="BK178" i="4"/>
  <c r="BL178" i="4"/>
  <c r="BM178" i="4"/>
  <c r="BO178" i="4"/>
  <c r="BP178" i="4"/>
  <c r="BQ178" i="4"/>
  <c r="BR178" i="4"/>
  <c r="BS178" i="4"/>
  <c r="BT178" i="4"/>
  <c r="BU178" i="4"/>
  <c r="BV178" i="4"/>
  <c r="BW178" i="4"/>
  <c r="BZ178" i="4"/>
  <c r="CB178" i="4"/>
  <c r="DB178" i="4"/>
  <c r="DC178" i="4"/>
  <c r="DD178" i="4"/>
  <c r="CX178" i="4" s="1"/>
  <c r="DE178" i="4"/>
  <c r="DG178" i="4"/>
  <c r="DH178" i="4"/>
  <c r="DJ178" i="4"/>
  <c r="DK178" i="4"/>
  <c r="DL178" i="4"/>
  <c r="DM178" i="4"/>
  <c r="DN178" i="4"/>
  <c r="DO178" i="4"/>
  <c r="DP178" i="4"/>
  <c r="DQ178" i="4"/>
  <c r="DR178" i="4"/>
  <c r="H179" i="4"/>
  <c r="M179" i="4"/>
  <c r="AI179" i="4"/>
  <c r="BE179" i="4" s="1"/>
  <c r="AJ179" i="4"/>
  <c r="BG179" i="4"/>
  <c r="BH179" i="4"/>
  <c r="BJ179" i="4"/>
  <c r="BK179" i="4"/>
  <c r="BL179" i="4"/>
  <c r="BM179" i="4"/>
  <c r="BO179" i="4"/>
  <c r="BP179" i="4"/>
  <c r="BQ179" i="4"/>
  <c r="BR179" i="4"/>
  <c r="BS179" i="4"/>
  <c r="BT179" i="4"/>
  <c r="BU179" i="4"/>
  <c r="BV179" i="4"/>
  <c r="BW179" i="4"/>
  <c r="BZ179" i="4"/>
  <c r="CA179" i="4"/>
  <c r="CW179" i="4" s="1"/>
  <c r="CB179" i="4"/>
  <c r="DB179" i="4"/>
  <c r="DC179" i="4"/>
  <c r="DD179" i="4"/>
  <c r="DE179" i="4"/>
  <c r="DG179" i="4"/>
  <c r="DH179" i="4"/>
  <c r="DJ179" i="4"/>
  <c r="DK179" i="4"/>
  <c r="DL179" i="4"/>
  <c r="DM179" i="4"/>
  <c r="DN179" i="4"/>
  <c r="DO179" i="4"/>
  <c r="DP179" i="4"/>
  <c r="DQ179" i="4"/>
  <c r="DR179" i="4"/>
  <c r="M180" i="4"/>
  <c r="AP180" i="4"/>
  <c r="BG180" i="4"/>
  <c r="BH180" i="4"/>
  <c r="BJ180" i="4"/>
  <c r="BK180" i="4"/>
  <c r="BM180" i="4"/>
  <c r="BO180" i="4"/>
  <c r="BP180" i="4"/>
  <c r="BQ180" i="4"/>
  <c r="BR180" i="4"/>
  <c r="BS180" i="4"/>
  <c r="BT180" i="4"/>
  <c r="BU180" i="4"/>
  <c r="BV180" i="4"/>
  <c r="BW180" i="4"/>
  <c r="BZ180" i="4"/>
  <c r="CH180" i="4"/>
  <c r="DD180" i="4" s="1"/>
  <c r="DB180" i="4"/>
  <c r="DC180" i="4"/>
  <c r="DE180" i="4"/>
  <c r="DG180" i="4"/>
  <c r="DH180" i="4"/>
  <c r="DJ180" i="4"/>
  <c r="DK180" i="4"/>
  <c r="DL180" i="4"/>
  <c r="DM180" i="4"/>
  <c r="DN180" i="4"/>
  <c r="DO180" i="4"/>
  <c r="DP180" i="4"/>
  <c r="DQ180" i="4"/>
  <c r="DR180" i="4"/>
  <c r="M181" i="4"/>
  <c r="AJ181" i="4"/>
  <c r="BG181" i="4"/>
  <c r="BH181" i="4"/>
  <c r="BJ181" i="4"/>
  <c r="BK181" i="4"/>
  <c r="BL181" i="4"/>
  <c r="BM181" i="4"/>
  <c r="BO181" i="4"/>
  <c r="BP181" i="4"/>
  <c r="BQ181" i="4"/>
  <c r="BR181" i="4"/>
  <c r="BS181" i="4"/>
  <c r="BT181" i="4"/>
  <c r="BU181" i="4"/>
  <c r="BV181" i="4"/>
  <c r="BW181" i="4"/>
  <c r="BZ181" i="4"/>
  <c r="CB181" i="4"/>
  <c r="CA181" i="4" s="1"/>
  <c r="CW181" i="4" s="1"/>
  <c r="DB181" i="4"/>
  <c r="DC181" i="4"/>
  <c r="DD181" i="4"/>
  <c r="DE181" i="4"/>
  <c r="DG181" i="4"/>
  <c r="DH181" i="4"/>
  <c r="DJ181" i="4"/>
  <c r="DK181" i="4"/>
  <c r="DL181" i="4"/>
  <c r="DM181" i="4"/>
  <c r="DN181" i="4"/>
  <c r="DO181" i="4"/>
  <c r="DP181" i="4"/>
  <c r="DQ181" i="4"/>
  <c r="DR181" i="4"/>
  <c r="M182" i="4"/>
  <c r="AY182" i="4"/>
  <c r="BU182" i="4" s="1"/>
  <c r="BG182" i="4"/>
  <c r="BH182" i="4"/>
  <c r="BJ182" i="4"/>
  <c r="BK182" i="4"/>
  <c r="BL182" i="4"/>
  <c r="BM182" i="4"/>
  <c r="BO182" i="4"/>
  <c r="BP182" i="4"/>
  <c r="BQ182" i="4"/>
  <c r="BR182" i="4"/>
  <c r="BS182" i="4"/>
  <c r="BT182" i="4"/>
  <c r="BV182" i="4"/>
  <c r="BW182" i="4"/>
  <c r="BZ182" i="4"/>
  <c r="CQ182" i="4"/>
  <c r="DB182" i="4"/>
  <c r="DC182" i="4"/>
  <c r="DD182" i="4"/>
  <c r="DE182" i="4"/>
  <c r="DG182" i="4"/>
  <c r="DH182" i="4"/>
  <c r="DJ182" i="4"/>
  <c r="DK182" i="4"/>
  <c r="DL182" i="4"/>
  <c r="DN182" i="4"/>
  <c r="DO182" i="4"/>
  <c r="DP182" i="4"/>
  <c r="DQ182" i="4"/>
  <c r="DR182" i="4"/>
  <c r="H183" i="4"/>
  <c r="S183" i="4"/>
  <c r="M183" i="4" s="1"/>
  <c r="AI183" i="4"/>
  <c r="BE183" i="4" s="1"/>
  <c r="AJ183" i="4"/>
  <c r="BG183" i="4"/>
  <c r="BH183" i="4"/>
  <c r="BJ183" i="4"/>
  <c r="BK183" i="4"/>
  <c r="BF183" i="4" s="1"/>
  <c r="BL183" i="4"/>
  <c r="BM183" i="4"/>
  <c r="BO183" i="4"/>
  <c r="BP183" i="4"/>
  <c r="BQ183" i="4"/>
  <c r="BR183" i="4"/>
  <c r="BS183" i="4"/>
  <c r="BT183" i="4"/>
  <c r="BU183" i="4"/>
  <c r="BV183" i="4"/>
  <c r="BW183" i="4"/>
  <c r="BZ183" i="4"/>
  <c r="CB183" i="4"/>
  <c r="DB183" i="4"/>
  <c r="DC183" i="4"/>
  <c r="DD183" i="4"/>
  <c r="DE183" i="4"/>
  <c r="DG183" i="4"/>
  <c r="DH183" i="4"/>
  <c r="DJ183" i="4"/>
  <c r="DK183" i="4"/>
  <c r="DL183" i="4"/>
  <c r="DM183" i="4"/>
  <c r="DN183" i="4"/>
  <c r="DO183" i="4"/>
  <c r="DP183" i="4"/>
  <c r="DQ183" i="4"/>
  <c r="DR183" i="4"/>
  <c r="AC184" i="4"/>
  <c r="AJ184" i="4"/>
  <c r="AZ184" i="4"/>
  <c r="BG184" i="4"/>
  <c r="BH184" i="4"/>
  <c r="BJ184" i="4"/>
  <c r="BK184" i="4"/>
  <c r="BK193" i="4" s="1"/>
  <c r="BL184" i="4"/>
  <c r="BM184" i="4"/>
  <c r="BO184" i="4"/>
  <c r="BP184" i="4"/>
  <c r="BQ184" i="4"/>
  <c r="BQ193" i="4" s="1"/>
  <c r="BR184" i="4"/>
  <c r="BS184" i="4"/>
  <c r="BT184" i="4"/>
  <c r="BT193" i="4" s="1"/>
  <c r="BU184" i="4"/>
  <c r="BW184" i="4"/>
  <c r="BZ184" i="4"/>
  <c r="CR184" i="4"/>
  <c r="CR193" i="4" s="1"/>
  <c r="DB184" i="4"/>
  <c r="DC184" i="4"/>
  <c r="DD184" i="4"/>
  <c r="DE184" i="4"/>
  <c r="DG184" i="4"/>
  <c r="DH184" i="4"/>
  <c r="DJ184" i="4"/>
  <c r="DJ193" i="4" s="1"/>
  <c r="DK184" i="4"/>
  <c r="DL184" i="4"/>
  <c r="DM184" i="4"/>
  <c r="DM193" i="4" s="1"/>
  <c r="DO184" i="4"/>
  <c r="DP184" i="4"/>
  <c r="DQ184" i="4"/>
  <c r="DR184" i="4"/>
  <c r="M185" i="4"/>
  <c r="AG185" i="4"/>
  <c r="BD185" i="4"/>
  <c r="BG185" i="4"/>
  <c r="BH185" i="4"/>
  <c r="BJ185" i="4"/>
  <c r="BJ193" i="4" s="1"/>
  <c r="BK185" i="4"/>
  <c r="BL185" i="4"/>
  <c r="BM185" i="4"/>
  <c r="BO185" i="4"/>
  <c r="BP185" i="4"/>
  <c r="BQ185" i="4"/>
  <c r="BR185" i="4"/>
  <c r="BS185" i="4"/>
  <c r="BT185" i="4"/>
  <c r="BU185" i="4"/>
  <c r="BV185" i="4"/>
  <c r="BW185" i="4"/>
  <c r="CV185" i="4"/>
  <c r="CV193" i="4" s="1"/>
  <c r="DB185" i="4"/>
  <c r="DC185" i="4"/>
  <c r="DD185" i="4"/>
  <c r="DE185" i="4"/>
  <c r="DG185" i="4"/>
  <c r="DH185" i="4"/>
  <c r="DJ185" i="4"/>
  <c r="DK185" i="4"/>
  <c r="DL185" i="4"/>
  <c r="DM185" i="4"/>
  <c r="DN185" i="4"/>
  <c r="DO185" i="4"/>
  <c r="DP185" i="4"/>
  <c r="DQ185" i="4"/>
  <c r="M186" i="4"/>
  <c r="Q186" i="4"/>
  <c r="DB186" i="4" s="1"/>
  <c r="AJ186" i="4"/>
  <c r="BG186" i="4"/>
  <c r="BH186" i="4"/>
  <c r="BJ186" i="4"/>
  <c r="BK186" i="4"/>
  <c r="BL186" i="4"/>
  <c r="BM186" i="4"/>
  <c r="BO186" i="4"/>
  <c r="BP186" i="4"/>
  <c r="BF186" i="4" s="1"/>
  <c r="BQ186" i="4"/>
  <c r="BR186" i="4"/>
  <c r="BS186" i="4"/>
  <c r="BT186" i="4"/>
  <c r="BU186" i="4"/>
  <c r="BV186" i="4"/>
  <c r="BW186" i="4"/>
  <c r="BZ186" i="4"/>
  <c r="CB186" i="4"/>
  <c r="DC186" i="4"/>
  <c r="DD186" i="4"/>
  <c r="DE186" i="4"/>
  <c r="DG186" i="4"/>
  <c r="DH186" i="4"/>
  <c r="DJ186" i="4"/>
  <c r="DK186" i="4"/>
  <c r="DL186" i="4"/>
  <c r="DM186" i="4"/>
  <c r="DN186" i="4"/>
  <c r="DO186" i="4"/>
  <c r="DP186" i="4"/>
  <c r="DQ186" i="4"/>
  <c r="DR186" i="4"/>
  <c r="G187" i="4"/>
  <c r="N187" i="4"/>
  <c r="N189" i="4" s="1"/>
  <c r="N200" i="4" s="1"/>
  <c r="P187" i="4"/>
  <c r="T187" i="4"/>
  <c r="U187" i="4"/>
  <c r="U189" i="4" s="1"/>
  <c r="U200" i="4" s="1"/>
  <c r="V187" i="4"/>
  <c r="W187" i="4"/>
  <c r="X187" i="4"/>
  <c r="Y187" i="4"/>
  <c r="Y189" i="4" s="1"/>
  <c r="Z187" i="4"/>
  <c r="AA187" i="4"/>
  <c r="AB187" i="4"/>
  <c r="AC187" i="4"/>
  <c r="AC189" i="4" s="1"/>
  <c r="AC200" i="4" s="1"/>
  <c r="AD187" i="4"/>
  <c r="AE187" i="4"/>
  <c r="AF187" i="4"/>
  <c r="AK187" i="4"/>
  <c r="AL187" i="4"/>
  <c r="AQ187" i="4"/>
  <c r="AR187" i="4"/>
  <c r="AS187" i="4"/>
  <c r="AT187" i="4"/>
  <c r="AT189" i="4" s="1"/>
  <c r="AU187" i="4"/>
  <c r="AV187" i="4"/>
  <c r="AV189" i="4" s="1"/>
  <c r="AW187" i="4"/>
  <c r="AX187" i="4"/>
  <c r="BA187" i="4"/>
  <c r="BB187" i="4"/>
  <c r="BB189" i="4" s="1"/>
  <c r="BN187" i="4"/>
  <c r="BX187" i="4"/>
  <c r="CC187" i="4"/>
  <c r="CD187" i="4"/>
  <c r="CI187" i="4"/>
  <c r="CJ187" i="4"/>
  <c r="CK187" i="4"/>
  <c r="CL187" i="4"/>
  <c r="CM187" i="4"/>
  <c r="CN187" i="4"/>
  <c r="CO187" i="4"/>
  <c r="CP187" i="4"/>
  <c r="CS187" i="4"/>
  <c r="CT187" i="4"/>
  <c r="CU187" i="4"/>
  <c r="CY187" i="4"/>
  <c r="DA187" i="4"/>
  <c r="DF187" i="4"/>
  <c r="W189" i="4"/>
  <c r="X189" i="4"/>
  <c r="AE189" i="4"/>
  <c r="AF189" i="4"/>
  <c r="AF200" i="4" s="1"/>
  <c r="AM189" i="4"/>
  <c r="AR189" i="4"/>
  <c r="AS189" i="4"/>
  <c r="CL189" i="4"/>
  <c r="CN189" i="4"/>
  <c r="CU189" i="4"/>
  <c r="G191" i="4"/>
  <c r="N191" i="4"/>
  <c r="N197" i="4" s="1"/>
  <c r="N199" i="4" s="1"/>
  <c r="O191" i="4"/>
  <c r="P191" i="4"/>
  <c r="R191" i="4"/>
  <c r="S191" i="4"/>
  <c r="T191" i="4"/>
  <c r="U191" i="4"/>
  <c r="V191" i="4"/>
  <c r="W191" i="4"/>
  <c r="W197" i="4" s="1"/>
  <c r="W199" i="4" s="1"/>
  <c r="X191" i="4"/>
  <c r="X197" i="4" s="1"/>
  <c r="X199" i="4" s="1"/>
  <c r="X200" i="4" s="1"/>
  <c r="Y191" i="4"/>
  <c r="Z191" i="4"/>
  <c r="Z197" i="4" s="1"/>
  <c r="Z199" i="4" s="1"/>
  <c r="AA191" i="4"/>
  <c r="AA197" i="4" s="1"/>
  <c r="AA199" i="4" s="1"/>
  <c r="AB191" i="4"/>
  <c r="AC191" i="4"/>
  <c r="AD191" i="4"/>
  <c r="AE191" i="4"/>
  <c r="AF191" i="4"/>
  <c r="AF197" i="4" s="1"/>
  <c r="AF199" i="4" s="1"/>
  <c r="AG191" i="4"/>
  <c r="AK191" i="4"/>
  <c r="AL191" i="4"/>
  <c r="AM191" i="4"/>
  <c r="AP191" i="4"/>
  <c r="AQ191" i="4"/>
  <c r="AR191" i="4"/>
  <c r="AS191" i="4"/>
  <c r="AT191" i="4"/>
  <c r="AU191" i="4"/>
  <c r="AV191" i="4"/>
  <c r="AW191" i="4"/>
  <c r="AX191" i="4"/>
  <c r="AY191" i="4"/>
  <c r="AZ191" i="4"/>
  <c r="BA191" i="4"/>
  <c r="BB191" i="4"/>
  <c r="BC191" i="4"/>
  <c r="BG191" i="4"/>
  <c r="BI191" i="4"/>
  <c r="BN191" i="4"/>
  <c r="BN197" i="4" s="1"/>
  <c r="BO191" i="4"/>
  <c r="BW191" i="4"/>
  <c r="BX191" i="4"/>
  <c r="CC191" i="4"/>
  <c r="CD191" i="4"/>
  <c r="CE191" i="4"/>
  <c r="CH191" i="4"/>
  <c r="CI191" i="4"/>
  <c r="CJ191" i="4"/>
  <c r="CK191" i="4"/>
  <c r="CL191" i="4"/>
  <c r="CM191" i="4"/>
  <c r="CN191" i="4"/>
  <c r="CO191" i="4"/>
  <c r="CP191" i="4"/>
  <c r="CQ191" i="4"/>
  <c r="CR191" i="4"/>
  <c r="CS191" i="4"/>
  <c r="CT191" i="4"/>
  <c r="CU191" i="4"/>
  <c r="CY191" i="4"/>
  <c r="CZ191" i="4"/>
  <c r="DA191" i="4"/>
  <c r="DF191" i="4"/>
  <c r="DL191" i="4"/>
  <c r="DQ191" i="4"/>
  <c r="G192" i="4"/>
  <c r="N192" i="4"/>
  <c r="P192" i="4"/>
  <c r="P197" i="4" s="1"/>
  <c r="P199" i="4" s="1"/>
  <c r="R192" i="4"/>
  <c r="S192" i="4"/>
  <c r="U192" i="4"/>
  <c r="V192" i="4"/>
  <c r="W192" i="4"/>
  <c r="X192" i="4"/>
  <c r="Y192" i="4"/>
  <c r="Z192" i="4"/>
  <c r="AA192" i="4"/>
  <c r="AB192" i="4"/>
  <c r="AC192" i="4"/>
  <c r="AD192" i="4"/>
  <c r="AE192" i="4"/>
  <c r="AF192" i="4"/>
  <c r="AK192" i="4"/>
  <c r="AL192" i="4"/>
  <c r="AM192" i="4"/>
  <c r="AO192" i="4"/>
  <c r="AQ192" i="4"/>
  <c r="AR192" i="4"/>
  <c r="AS192" i="4"/>
  <c r="AT192" i="4"/>
  <c r="AU192" i="4"/>
  <c r="AV192" i="4"/>
  <c r="AW192" i="4"/>
  <c r="AX192" i="4"/>
  <c r="AY192" i="4"/>
  <c r="BA192" i="4"/>
  <c r="BB192" i="4"/>
  <c r="BI192" i="4"/>
  <c r="BN192" i="4"/>
  <c r="BT192" i="4"/>
  <c r="BX192" i="4"/>
  <c r="CC192" i="4"/>
  <c r="CD192" i="4"/>
  <c r="CE192" i="4"/>
  <c r="CG192" i="4"/>
  <c r="CI192" i="4"/>
  <c r="CJ192" i="4"/>
  <c r="CK192" i="4"/>
  <c r="CL192" i="4"/>
  <c r="CM192" i="4"/>
  <c r="CN192" i="4"/>
  <c r="CO192" i="4"/>
  <c r="CP192" i="4"/>
  <c r="CQ192" i="4"/>
  <c r="CR192" i="4"/>
  <c r="CS192" i="4"/>
  <c r="CT192" i="4"/>
  <c r="CU192" i="4"/>
  <c r="CY192" i="4"/>
  <c r="DA192" i="4"/>
  <c r="DF192" i="4"/>
  <c r="DH192" i="4"/>
  <c r="DI192" i="4"/>
  <c r="G193" i="4"/>
  <c r="N193" i="4"/>
  <c r="O193" i="4"/>
  <c r="P193" i="4"/>
  <c r="Q193" i="4"/>
  <c r="R193" i="4"/>
  <c r="S193" i="4"/>
  <c r="T193" i="4"/>
  <c r="U193" i="4"/>
  <c r="V193" i="4"/>
  <c r="W193" i="4"/>
  <c r="X193" i="4"/>
  <c r="Y193" i="4"/>
  <c r="Z193" i="4"/>
  <c r="AA193" i="4"/>
  <c r="AB193" i="4"/>
  <c r="AC193" i="4"/>
  <c r="AD193" i="4"/>
  <c r="AE193" i="4"/>
  <c r="AF193" i="4"/>
  <c r="AG193" i="4"/>
  <c r="AK193" i="4"/>
  <c r="AL193" i="4"/>
  <c r="AM193" i="4"/>
  <c r="AN193" i="4"/>
  <c r="AO193" i="4"/>
  <c r="AR193" i="4"/>
  <c r="AS193" i="4"/>
  <c r="AT193" i="4"/>
  <c r="AU193" i="4"/>
  <c r="AV193" i="4"/>
  <c r="AW193" i="4"/>
  <c r="AX193" i="4"/>
  <c r="AY193" i="4"/>
  <c r="AZ193" i="4"/>
  <c r="BA193" i="4"/>
  <c r="BB193" i="4"/>
  <c r="BC193" i="4"/>
  <c r="BG193" i="4"/>
  <c r="BH193" i="4"/>
  <c r="BI193" i="4"/>
  <c r="BN193" i="4"/>
  <c r="BO193" i="4"/>
  <c r="BP193" i="4"/>
  <c r="BR193" i="4"/>
  <c r="BS193" i="4"/>
  <c r="BU193" i="4"/>
  <c r="BW193" i="4"/>
  <c r="BX193" i="4"/>
  <c r="BY193" i="4"/>
  <c r="CC193" i="4"/>
  <c r="CD193" i="4"/>
  <c r="CE193" i="4"/>
  <c r="CF193" i="4"/>
  <c r="CG193" i="4"/>
  <c r="CI193" i="4"/>
  <c r="CJ193" i="4"/>
  <c r="CK193" i="4"/>
  <c r="CL193" i="4"/>
  <c r="CM193" i="4"/>
  <c r="CN193" i="4"/>
  <c r="CO193" i="4"/>
  <c r="CP193" i="4"/>
  <c r="CQ193" i="4"/>
  <c r="CS193" i="4"/>
  <c r="CT193" i="4"/>
  <c r="CU193" i="4"/>
  <c r="CY193" i="4"/>
  <c r="CZ193" i="4"/>
  <c r="DA193" i="4"/>
  <c r="DF193" i="4"/>
  <c r="DG193" i="4"/>
  <c r="DH193" i="4"/>
  <c r="DI193" i="4"/>
  <c r="DK193" i="4"/>
  <c r="DL193" i="4"/>
  <c r="DO193" i="4"/>
  <c r="DP193" i="4"/>
  <c r="DQ193" i="4"/>
  <c r="G194" i="4"/>
  <c r="N194" i="4"/>
  <c r="O194" i="4"/>
  <c r="P194" i="4"/>
  <c r="Q194" i="4"/>
  <c r="R194" i="4"/>
  <c r="S194" i="4"/>
  <c r="T194" i="4"/>
  <c r="U194" i="4"/>
  <c r="V194" i="4"/>
  <c r="W194" i="4"/>
  <c r="X194" i="4"/>
  <c r="Y194" i="4"/>
  <c r="Z194" i="4"/>
  <c r="AA194" i="4"/>
  <c r="AB194" i="4"/>
  <c r="AC194" i="4"/>
  <c r="AD194" i="4"/>
  <c r="AE194" i="4"/>
  <c r="AF194" i="4"/>
  <c r="AG194" i="4"/>
  <c r="AK194" i="4"/>
  <c r="AM194" i="4"/>
  <c r="AO194" i="4"/>
  <c r="AR194" i="4"/>
  <c r="AS194" i="4"/>
  <c r="AS197" i="4" s="1"/>
  <c r="AS199" i="4" s="1"/>
  <c r="AS200" i="4" s="1"/>
  <c r="AT194" i="4"/>
  <c r="AU194" i="4"/>
  <c r="AV194" i="4"/>
  <c r="AW194" i="4"/>
  <c r="BA194" i="4"/>
  <c r="BB194" i="4"/>
  <c r="BC194" i="4"/>
  <c r="BG194" i="4"/>
  <c r="BI194" i="4"/>
  <c r="BK194" i="4"/>
  <c r="BN194" i="4"/>
  <c r="BO194" i="4"/>
  <c r="BP194" i="4"/>
  <c r="BQ194" i="4"/>
  <c r="BS194" i="4"/>
  <c r="BX194" i="4"/>
  <c r="BY194" i="4"/>
  <c r="CC194" i="4"/>
  <c r="CE194" i="4"/>
  <c r="CG194" i="4"/>
  <c r="CL194" i="4"/>
  <c r="CM194" i="4"/>
  <c r="CN194" i="4"/>
  <c r="CS194" i="4"/>
  <c r="CU194" i="4"/>
  <c r="CY194" i="4"/>
  <c r="DC194" i="4"/>
  <c r="DH194" i="4"/>
  <c r="DI194" i="4"/>
  <c r="DQ194" i="4"/>
  <c r="G195" i="4"/>
  <c r="G197" i="4" s="1"/>
  <c r="G199" i="4" s="1"/>
  <c r="N195" i="4"/>
  <c r="O195" i="4"/>
  <c r="P195" i="4"/>
  <c r="R195" i="4"/>
  <c r="T195" i="4"/>
  <c r="U195" i="4"/>
  <c r="V195" i="4"/>
  <c r="W195" i="4"/>
  <c r="X195" i="4"/>
  <c r="Y195" i="4"/>
  <c r="Z195" i="4"/>
  <c r="AA195" i="4"/>
  <c r="AB195" i="4"/>
  <c r="AC195" i="4"/>
  <c r="AD195" i="4"/>
  <c r="AE195" i="4"/>
  <c r="AF195" i="4"/>
  <c r="AG195" i="4"/>
  <c r="AK195" i="4"/>
  <c r="AL195" i="4"/>
  <c r="AM195" i="4"/>
  <c r="AN195" i="4"/>
  <c r="AO195" i="4"/>
  <c r="AQ195" i="4"/>
  <c r="AR195" i="4"/>
  <c r="AS195" i="4"/>
  <c r="AT195" i="4"/>
  <c r="AU195" i="4"/>
  <c r="AV195" i="4"/>
  <c r="AW195" i="4"/>
  <c r="BA195" i="4"/>
  <c r="BB195" i="4"/>
  <c r="BC195" i="4"/>
  <c r="BG195" i="4"/>
  <c r="BH195" i="4"/>
  <c r="BI195" i="4"/>
  <c r="BN195" i="4"/>
  <c r="BP195" i="4"/>
  <c r="BX195" i="4"/>
  <c r="CC195" i="4"/>
  <c r="CD195" i="4"/>
  <c r="CE195" i="4"/>
  <c r="CF195" i="4"/>
  <c r="CG195" i="4"/>
  <c r="CI195" i="4"/>
  <c r="CJ195" i="4"/>
  <c r="CK195" i="4"/>
  <c r="CL195" i="4"/>
  <c r="CM195" i="4"/>
  <c r="CN195" i="4"/>
  <c r="CO195" i="4"/>
  <c r="CS195" i="4"/>
  <c r="CT195" i="4"/>
  <c r="CU195" i="4"/>
  <c r="CZ195" i="4"/>
  <c r="DA195" i="4"/>
  <c r="DF195" i="4"/>
  <c r="DH195" i="4"/>
  <c r="DI195" i="4"/>
  <c r="DP195" i="4"/>
  <c r="DQ195" i="4"/>
  <c r="G196" i="4"/>
  <c r="N196" i="4"/>
  <c r="O196" i="4"/>
  <c r="P196" i="4"/>
  <c r="Q196" i="4"/>
  <c r="R196" i="4"/>
  <c r="S196" i="4"/>
  <c r="T196" i="4"/>
  <c r="U196" i="4"/>
  <c r="V196" i="4"/>
  <c r="W196" i="4"/>
  <c r="X196" i="4"/>
  <c r="Y196" i="4"/>
  <c r="Z196" i="4"/>
  <c r="AA196" i="4"/>
  <c r="AB196" i="4"/>
  <c r="AC196" i="4"/>
  <c r="AD196" i="4"/>
  <c r="AE196" i="4"/>
  <c r="AF196" i="4"/>
  <c r="AG196" i="4"/>
  <c r="AK196" i="4"/>
  <c r="AL196" i="4"/>
  <c r="AM196" i="4"/>
  <c r="AO196" i="4"/>
  <c r="AR196" i="4"/>
  <c r="AS196" i="4"/>
  <c r="AT196" i="4"/>
  <c r="AU196" i="4"/>
  <c r="AV196" i="4"/>
  <c r="AW196" i="4"/>
  <c r="AX196" i="4"/>
  <c r="AZ196" i="4"/>
  <c r="BA196" i="4"/>
  <c r="BB196" i="4"/>
  <c r="BC196" i="4"/>
  <c r="BI196" i="4"/>
  <c r="BI197" i="4" s="1"/>
  <c r="BI199" i="4" s="1"/>
  <c r="BK196" i="4"/>
  <c r="BN196" i="4"/>
  <c r="BT196" i="4"/>
  <c r="BW196" i="4"/>
  <c r="BX196" i="4"/>
  <c r="BY196" i="4"/>
  <c r="CC196" i="4"/>
  <c r="CD196" i="4"/>
  <c r="CE196" i="4"/>
  <c r="CG196" i="4"/>
  <c r="CJ196" i="4"/>
  <c r="CK196" i="4"/>
  <c r="CL196" i="4"/>
  <c r="CM196" i="4"/>
  <c r="CN196" i="4"/>
  <c r="CO196" i="4"/>
  <c r="CP196" i="4"/>
  <c r="CR196" i="4"/>
  <c r="CS196" i="4"/>
  <c r="CT196" i="4"/>
  <c r="CU196" i="4"/>
  <c r="CY196" i="4"/>
  <c r="DA196" i="4"/>
  <c r="DC196" i="4"/>
  <c r="DF196" i="4"/>
  <c r="DH196" i="4"/>
  <c r="DI196" i="4"/>
  <c r="DL196" i="4"/>
  <c r="DQ196" i="4"/>
  <c r="R197" i="4"/>
  <c r="R199" i="4" s="1"/>
  <c r="U197" i="4"/>
  <c r="V197" i="4"/>
  <c r="Y197" i="4"/>
  <c r="AB197" i="4"/>
  <c r="AC197" i="4"/>
  <c r="AD197" i="4"/>
  <c r="AH197" i="4"/>
  <c r="AH199" i="4" s="1"/>
  <c r="AM197" i="4"/>
  <c r="AT197" i="4"/>
  <c r="AU197" i="4"/>
  <c r="AU199" i="4" s="1"/>
  <c r="BB197" i="4"/>
  <c r="BB199" i="4" s="1"/>
  <c r="CL197" i="4"/>
  <c r="CM197" i="4"/>
  <c r="CM199" i="4" s="1"/>
  <c r="CM200" i="4" s="1"/>
  <c r="G198" i="4"/>
  <c r="N198" i="4"/>
  <c r="P198" i="4"/>
  <c r="Q198" i="4"/>
  <c r="R198" i="4"/>
  <c r="S198" i="4"/>
  <c r="T198" i="4"/>
  <c r="U198" i="4"/>
  <c r="V198" i="4"/>
  <c r="V199" i="4" s="1"/>
  <c r="W198" i="4"/>
  <c r="X198" i="4"/>
  <c r="Y198" i="4"/>
  <c r="Y199" i="4" s="1"/>
  <c r="Y200" i="4" s="1"/>
  <c r="Z198" i="4"/>
  <c r="AA198" i="4"/>
  <c r="AB198" i="4"/>
  <c r="AC198" i="4"/>
  <c r="AD198" i="4"/>
  <c r="AD199" i="4" s="1"/>
  <c r="AE198" i="4"/>
  <c r="AF198" i="4"/>
  <c r="AG198" i="4"/>
  <c r="AK198" i="4"/>
  <c r="AL198" i="4"/>
  <c r="AM198" i="4"/>
  <c r="AN198" i="4"/>
  <c r="AO198" i="4"/>
  <c r="AP198" i="4"/>
  <c r="AQ198" i="4"/>
  <c r="AR198" i="4"/>
  <c r="AS198" i="4"/>
  <c r="AT198" i="4"/>
  <c r="AU198" i="4"/>
  <c r="AV198" i="4"/>
  <c r="AW198" i="4"/>
  <c r="AZ198" i="4"/>
  <c r="BB198" i="4"/>
  <c r="BC198" i="4"/>
  <c r="BD198" i="4"/>
  <c r="BI198" i="4"/>
  <c r="BK198" i="4"/>
  <c r="BL198" i="4"/>
  <c r="BN198" i="4"/>
  <c r="BO198" i="4"/>
  <c r="BQ198" i="4"/>
  <c r="BX198" i="4"/>
  <c r="CD198" i="4"/>
  <c r="CE198" i="4"/>
  <c r="CF198" i="4"/>
  <c r="CG198" i="4"/>
  <c r="CH198" i="4"/>
  <c r="CI198" i="4"/>
  <c r="CJ198" i="4"/>
  <c r="CK198" i="4"/>
  <c r="CL198" i="4"/>
  <c r="CM198" i="4"/>
  <c r="CN198" i="4"/>
  <c r="CO198" i="4"/>
  <c r="CR198" i="4"/>
  <c r="CT198" i="4"/>
  <c r="CU198" i="4"/>
  <c r="DA198" i="4"/>
  <c r="DC198" i="4"/>
  <c r="DD198" i="4"/>
  <c r="DF198" i="4"/>
  <c r="DH198" i="4"/>
  <c r="DI198" i="4"/>
  <c r="DJ198" i="4"/>
  <c r="DK198" i="4"/>
  <c r="DP198" i="4"/>
  <c r="DQ198" i="4"/>
  <c r="T199" i="4"/>
  <c r="U199" i="4"/>
  <c r="AB199" i="4"/>
  <c r="AC199" i="4"/>
  <c r="AM199" i="4"/>
  <c r="AT199" i="4"/>
  <c r="CL199" i="4"/>
  <c r="AM200" i="4"/>
  <c r="AT200" i="4"/>
  <c r="CL200" i="4"/>
  <c r="AJ45" i="4" l="1"/>
  <c r="AI45" i="4" s="1"/>
  <c r="BE45" i="4" s="1"/>
  <c r="CB169" i="4"/>
  <c r="AX194" i="4"/>
  <c r="CZ48" i="5"/>
  <c r="CF196" i="4"/>
  <c r="CB90" i="4"/>
  <c r="H90" i="4" s="1"/>
  <c r="I90" i="4" s="1"/>
  <c r="BL24" i="4"/>
  <c r="AJ7" i="5"/>
  <c r="AI7" i="5" s="1"/>
  <c r="BE7" i="5" s="1"/>
  <c r="BL48" i="5"/>
  <c r="DR80" i="5"/>
  <c r="DG194" i="4"/>
  <c r="CB60" i="4"/>
  <c r="CI67" i="4"/>
  <c r="CQ32" i="5"/>
  <c r="CB32" i="5" s="1"/>
  <c r="H32" i="5" s="1"/>
  <c r="I32" i="5" s="1"/>
  <c r="AY194" i="5"/>
  <c r="DM182" i="5"/>
  <c r="DM187" i="5" s="1"/>
  <c r="CR195" i="4"/>
  <c r="CF194" i="4"/>
  <c r="CR34" i="4"/>
  <c r="BL41" i="5"/>
  <c r="BF41" i="5" s="1"/>
  <c r="BM48" i="5"/>
  <c r="DR53" i="5"/>
  <c r="CX53" i="5" s="1"/>
  <c r="DD175" i="5"/>
  <c r="CX175" i="5" s="1"/>
  <c r="BU182" i="5"/>
  <c r="BU187" i="5" s="1"/>
  <c r="CQ187" i="5"/>
  <c r="CB60" i="5"/>
  <c r="H60" i="5" s="1"/>
  <c r="I60" i="5" s="1"/>
  <c r="BV117" i="5"/>
  <c r="DD100" i="5"/>
  <c r="DN184" i="4"/>
  <c r="DN193" i="4" s="1"/>
  <c r="CV192" i="4"/>
  <c r="CC198" i="4"/>
  <c r="CB115" i="4"/>
  <c r="H115" i="4" s="1"/>
  <c r="CO194" i="4"/>
  <c r="DL4" i="4"/>
  <c r="CH17" i="5"/>
  <c r="CH193" i="5" s="1"/>
  <c r="BL25" i="5"/>
  <c r="CB43" i="5"/>
  <c r="CB64" i="5"/>
  <c r="H64" i="5" s="1"/>
  <c r="BS87" i="5"/>
  <c r="BS196" i="5" s="1"/>
  <c r="AJ160" i="5"/>
  <c r="AI160" i="5" s="1"/>
  <c r="BE160" i="5" s="1"/>
  <c r="AJ165" i="5"/>
  <c r="AI165" i="5" s="1"/>
  <c r="BE165" i="5" s="1"/>
  <c r="AJ169" i="5"/>
  <c r="CA32" i="5"/>
  <c r="CW32" i="5" s="1"/>
  <c r="CA175" i="5"/>
  <c r="CW175" i="5" s="1"/>
  <c r="H175" i="5"/>
  <c r="I175" i="5" s="1"/>
  <c r="AV197" i="4"/>
  <c r="AV199" i="4" s="1"/>
  <c r="AV200" i="4" s="1"/>
  <c r="CB100" i="4"/>
  <c r="CA100" i="4" s="1"/>
  <c r="CW100" i="4" s="1"/>
  <c r="AJ32" i="4"/>
  <c r="AI32" i="4" s="1"/>
  <c r="BE32" i="4" s="1"/>
  <c r="CB23" i="4"/>
  <c r="H23" i="4" s="1"/>
  <c r="I23" i="4" s="1"/>
  <c r="CB7" i="4"/>
  <c r="CA7" i="4" s="1"/>
  <c r="CW7" i="4" s="1"/>
  <c r="AK197" i="4"/>
  <c r="AK199" i="4" s="1"/>
  <c r="AJ162" i="4"/>
  <c r="AI162" i="4" s="1"/>
  <c r="BE162" i="4" s="1"/>
  <c r="CB177" i="4"/>
  <c r="CA177" i="4" s="1"/>
  <c r="CW177" i="4" s="1"/>
  <c r="AK121" i="4"/>
  <c r="CB98" i="4"/>
  <c r="H98" i="4" s="1"/>
  <c r="CB92" i="4"/>
  <c r="H92" i="4" s="1"/>
  <c r="I92" i="4" s="1"/>
  <c r="AP194" i="4"/>
  <c r="CH17" i="4"/>
  <c r="AN191" i="4"/>
  <c r="BZ157" i="4"/>
  <c r="DB150" i="4"/>
  <c r="AJ127" i="4"/>
  <c r="BJ126" i="4"/>
  <c r="BF126" i="4" s="1"/>
  <c r="CC121" i="4"/>
  <c r="CC189" i="4" s="1"/>
  <c r="BG121" i="4"/>
  <c r="BZ73" i="4"/>
  <c r="AJ64" i="4"/>
  <c r="AI64" i="4" s="1"/>
  <c r="BE64" i="4" s="1"/>
  <c r="BH45" i="4"/>
  <c r="BF13" i="4"/>
  <c r="DL9" i="4"/>
  <c r="CX9" i="4" s="1"/>
  <c r="AJ10" i="5"/>
  <c r="AI10" i="5" s="1"/>
  <c r="BE10" i="5" s="1"/>
  <c r="CB78" i="5"/>
  <c r="H78" i="5" s="1"/>
  <c r="DE84" i="5"/>
  <c r="CX84" i="5" s="1"/>
  <c r="AK121" i="5"/>
  <c r="H184" i="5"/>
  <c r="I184" i="5" s="1"/>
  <c r="AY34" i="4"/>
  <c r="AZ194" i="4"/>
  <c r="AZ197" i="4" s="1"/>
  <c r="AZ199" i="4" s="1"/>
  <c r="BV162" i="4"/>
  <c r="BV192" i="4" s="1"/>
  <c r="DE48" i="4"/>
  <c r="DE67" i="4" s="1"/>
  <c r="CD194" i="4"/>
  <c r="CD197" i="4" s="1"/>
  <c r="CD199" i="4" s="1"/>
  <c r="BY165" i="4"/>
  <c r="CB118" i="4"/>
  <c r="AJ114" i="4"/>
  <c r="AI114" i="4" s="1"/>
  <c r="BE114" i="4" s="1"/>
  <c r="CX65" i="4"/>
  <c r="DR46" i="4"/>
  <c r="CX46" i="4" s="1"/>
  <c r="CX7" i="4"/>
  <c r="DM32" i="5"/>
  <c r="DM34" i="5" s="1"/>
  <c r="DD40" i="5"/>
  <c r="CX40" i="5" s="1"/>
  <c r="DB58" i="5"/>
  <c r="DD60" i="5"/>
  <c r="CX60" i="5" s="1"/>
  <c r="AZ67" i="5"/>
  <c r="DR116" i="5"/>
  <c r="AO197" i="5"/>
  <c r="AO199" i="5" s="1"/>
  <c r="BC197" i="5"/>
  <c r="BC199" i="5" s="1"/>
  <c r="BC200" i="5" s="1"/>
  <c r="CT197" i="5"/>
  <c r="CT199" i="5" s="1"/>
  <c r="CF191" i="4"/>
  <c r="CQ198" i="4"/>
  <c r="CP195" i="4"/>
  <c r="AJ170" i="4"/>
  <c r="BF157" i="4"/>
  <c r="H56" i="5"/>
  <c r="DD56" i="5"/>
  <c r="CX56" i="5" s="1"/>
  <c r="BF154" i="5"/>
  <c r="AJ145" i="4"/>
  <c r="BA198" i="4"/>
  <c r="CB65" i="4"/>
  <c r="CA65" i="4" s="1"/>
  <c r="CW65" i="4" s="1"/>
  <c r="BZ73" i="5"/>
  <c r="BF73" i="5" s="1"/>
  <c r="AY198" i="5"/>
  <c r="CB118" i="5"/>
  <c r="H118" i="5" s="1"/>
  <c r="I118" i="5" s="1"/>
  <c r="CV192" i="5"/>
  <c r="H157" i="5"/>
  <c r="I157" i="5" s="1"/>
  <c r="AJ82" i="4"/>
  <c r="AI82" i="4" s="1"/>
  <c r="BE82" i="4" s="1"/>
  <c r="BC187" i="5"/>
  <c r="BC189" i="5" s="1"/>
  <c r="BL162" i="4"/>
  <c r="BL192" i="4" s="1"/>
  <c r="AJ71" i="4"/>
  <c r="AI71" i="4" s="1"/>
  <c r="BE71" i="4" s="1"/>
  <c r="AP67" i="4"/>
  <c r="BF49" i="5"/>
  <c r="CP198" i="4"/>
  <c r="CV187" i="4"/>
  <c r="DD76" i="4"/>
  <c r="CA69" i="4"/>
  <c r="CW69" i="4" s="1"/>
  <c r="AY67" i="4"/>
  <c r="DD18" i="4"/>
  <c r="CB4" i="5"/>
  <c r="H4" i="5" s="1"/>
  <c r="DP39" i="5"/>
  <c r="DP67" i="5" s="1"/>
  <c r="DG48" i="5"/>
  <c r="DG67" i="5" s="1"/>
  <c r="DG189" i="5" s="1"/>
  <c r="AJ72" i="5"/>
  <c r="AI72" i="5" s="1"/>
  <c r="BE72" i="5" s="1"/>
  <c r="DB140" i="5"/>
  <c r="CX140" i="5" s="1"/>
  <c r="BJ147" i="5"/>
  <c r="BF147" i="5" s="1"/>
  <c r="CB149" i="5"/>
  <c r="H149" i="5" s="1"/>
  <c r="DB150" i="5"/>
  <c r="CX150" i="5" s="1"/>
  <c r="BL169" i="5"/>
  <c r="BF169" i="5" s="1"/>
  <c r="CA52" i="5"/>
  <c r="CW52" i="5" s="1"/>
  <c r="H52" i="5"/>
  <c r="I52" i="5" s="1"/>
  <c r="H82" i="5"/>
  <c r="I82" i="5" s="1"/>
  <c r="CA82" i="5"/>
  <c r="CW82" i="5" s="1"/>
  <c r="H115" i="5"/>
  <c r="I115" i="5" s="1"/>
  <c r="CA115" i="5"/>
  <c r="CW115" i="5" s="1"/>
  <c r="H120" i="4"/>
  <c r="I120" i="4" s="1"/>
  <c r="CA120" i="4"/>
  <c r="CW120" i="4" s="1"/>
  <c r="CA53" i="5"/>
  <c r="CW53" i="5" s="1"/>
  <c r="H53" i="5"/>
  <c r="I53" i="5" s="1"/>
  <c r="CP197" i="4"/>
  <c r="CA40" i="5"/>
  <c r="CW40" i="5" s="1"/>
  <c r="H40" i="5"/>
  <c r="I40" i="5" s="1"/>
  <c r="CA175" i="4"/>
  <c r="CW175" i="4" s="1"/>
  <c r="H175" i="4"/>
  <c r="I175" i="4" s="1"/>
  <c r="CA82" i="4"/>
  <c r="CW82" i="4" s="1"/>
  <c r="H82" i="4"/>
  <c r="I82" i="4" s="1"/>
  <c r="CO197" i="4"/>
  <c r="CO199" i="4" s="1"/>
  <c r="BC187" i="4"/>
  <c r="CB185" i="4"/>
  <c r="H185" i="4" s="1"/>
  <c r="I185" i="4" s="1"/>
  <c r="CB156" i="4"/>
  <c r="H156" i="4" s="1"/>
  <c r="CB42" i="4"/>
  <c r="AJ18" i="4"/>
  <c r="CA9" i="4"/>
  <c r="CW9" i="4" s="1"/>
  <c r="BF11" i="5"/>
  <c r="CX164" i="5"/>
  <c r="BL175" i="5"/>
  <c r="BF175" i="5" s="1"/>
  <c r="CV196" i="4"/>
  <c r="AJ182" i="4"/>
  <c r="AI182" i="4" s="1"/>
  <c r="BE182" i="4" s="1"/>
  <c r="CX175" i="4"/>
  <c r="DB159" i="4"/>
  <c r="CX159" i="4" s="1"/>
  <c r="CA147" i="4"/>
  <c r="CW147" i="4" s="1"/>
  <c r="CB75" i="4"/>
  <c r="CA75" i="4" s="1"/>
  <c r="CW75" i="4" s="1"/>
  <c r="CK67" i="4"/>
  <c r="CK189" i="4" s="1"/>
  <c r="CV194" i="4"/>
  <c r="DL47" i="4"/>
  <c r="DL194" i="4" s="1"/>
  <c r="H41" i="4"/>
  <c r="I41" i="4" s="1"/>
  <c r="CB12" i="4"/>
  <c r="BF7" i="5"/>
  <c r="CB9" i="5"/>
  <c r="CA9" i="5" s="1"/>
  <c r="CW9" i="5" s="1"/>
  <c r="AJ31" i="5"/>
  <c r="AI31" i="5" s="1"/>
  <c r="BE31" i="5" s="1"/>
  <c r="CB45" i="5"/>
  <c r="H45" i="5" s="1"/>
  <c r="DL115" i="5"/>
  <c r="CX115" i="5" s="1"/>
  <c r="CX157" i="5"/>
  <c r="CB180" i="5"/>
  <c r="CY117" i="4"/>
  <c r="DO105" i="4"/>
  <c r="AY187" i="4"/>
  <c r="CI194" i="4"/>
  <c r="AO191" i="4"/>
  <c r="AO197" i="4" s="1"/>
  <c r="AO199" i="4" s="1"/>
  <c r="AO187" i="4"/>
  <c r="AO189" i="4" s="1"/>
  <c r="I147" i="4"/>
  <c r="CB96" i="4"/>
  <c r="BZ80" i="4"/>
  <c r="BF80" i="4" s="1"/>
  <c r="DD17" i="4"/>
  <c r="CX17" i="4" s="1"/>
  <c r="AP34" i="5"/>
  <c r="DD24" i="5"/>
  <c r="CX24" i="5" s="1"/>
  <c r="H86" i="5"/>
  <c r="I86" i="5" s="1"/>
  <c r="AJ114" i="5"/>
  <c r="AI114" i="5" s="1"/>
  <c r="BE114" i="5" s="1"/>
  <c r="CV121" i="5"/>
  <c r="BC192" i="4"/>
  <c r="BC197" i="4" s="1"/>
  <c r="BC199" i="4" s="1"/>
  <c r="CG187" i="4"/>
  <c r="CG189" i="4" s="1"/>
  <c r="CF192" i="4"/>
  <c r="BL13" i="5"/>
  <c r="BF13" i="5" s="1"/>
  <c r="BY165" i="5"/>
  <c r="BY187" i="5" s="1"/>
  <c r="BY189" i="5" s="1"/>
  <c r="CX180" i="5"/>
  <c r="AQ193" i="4"/>
  <c r="BD191" i="4"/>
  <c r="CB180" i="4"/>
  <c r="DR157" i="4"/>
  <c r="CX157" i="4" s="1"/>
  <c r="DR82" i="4"/>
  <c r="CX82" i="4" s="1"/>
  <c r="DE81" i="4"/>
  <c r="CP67" i="4"/>
  <c r="DK52" i="4"/>
  <c r="CR194" i="4"/>
  <c r="CR197" i="4" s="1"/>
  <c r="CR199" i="4" s="1"/>
  <c r="AJ9" i="4"/>
  <c r="AI9" i="4" s="1"/>
  <c r="BE9" i="4" s="1"/>
  <c r="H7" i="4"/>
  <c r="I7" i="4" s="1"/>
  <c r="CX7" i="5"/>
  <c r="CI18" i="5"/>
  <c r="CB18" i="5" s="1"/>
  <c r="H18" i="5" s="1"/>
  <c r="I18" i="5" s="1"/>
  <c r="BL180" i="5"/>
  <c r="BF180" i="5" s="1"/>
  <c r="BF31" i="5"/>
  <c r="CH67" i="4"/>
  <c r="BJ149" i="5"/>
  <c r="H156" i="5"/>
  <c r="I156" i="5" s="1"/>
  <c r="CK194" i="4"/>
  <c r="CK197" i="4" s="1"/>
  <c r="CK199" i="4" s="1"/>
  <c r="CV191" i="4"/>
  <c r="CB191" i="4" s="1"/>
  <c r="DB147" i="4"/>
  <c r="H107" i="4"/>
  <c r="CB47" i="4"/>
  <c r="DD96" i="5"/>
  <c r="CQ196" i="4"/>
  <c r="CG197" i="4"/>
  <c r="CG199" i="4" s="1"/>
  <c r="BZ161" i="4"/>
  <c r="BF161" i="4" s="1"/>
  <c r="DD41" i="4"/>
  <c r="CX41" i="4" s="1"/>
  <c r="CX13" i="5"/>
  <c r="CX42" i="5"/>
  <c r="CA60" i="5"/>
  <c r="CW60" i="5" s="1"/>
  <c r="CB92" i="5"/>
  <c r="H92" i="5" s="1"/>
  <c r="CC121" i="5"/>
  <c r="CC189" i="5" s="1"/>
  <c r="CB120" i="5"/>
  <c r="CA120" i="5" s="1"/>
  <c r="CW120" i="5" s="1"/>
  <c r="BZ161" i="5"/>
  <c r="BF161" i="5" s="1"/>
  <c r="CB164" i="5"/>
  <c r="DN184" i="5"/>
  <c r="DN193" i="5" s="1"/>
  <c r="AJ112" i="4"/>
  <c r="AI112" i="4" s="1"/>
  <c r="BE112" i="4" s="1"/>
  <c r="BU112" i="4"/>
  <c r="BU121" i="4" s="1"/>
  <c r="AJ72" i="4"/>
  <c r="BD103" i="4"/>
  <c r="AK189" i="4"/>
  <c r="AK200" i="4" s="1"/>
  <c r="H65" i="4"/>
  <c r="I65" i="4" s="1"/>
  <c r="BD196" i="4"/>
  <c r="AZ195" i="4"/>
  <c r="DA194" i="4"/>
  <c r="BB200" i="4"/>
  <c r="AJ151" i="4"/>
  <c r="AI151" i="4" s="1"/>
  <c r="BE151" i="4" s="1"/>
  <c r="CQ121" i="4"/>
  <c r="AJ120" i="4"/>
  <c r="AJ93" i="4"/>
  <c r="AI93" i="4" s="1"/>
  <c r="BE93" i="4" s="1"/>
  <c r="AJ85" i="4"/>
  <c r="AJ61" i="4"/>
  <c r="AJ60" i="4"/>
  <c r="AJ48" i="4"/>
  <c r="AI48" i="4" s="1"/>
  <c r="BE48" i="4" s="1"/>
  <c r="AJ47" i="4"/>
  <c r="AI47" i="4" s="1"/>
  <c r="BE47" i="4" s="1"/>
  <c r="CB10" i="4"/>
  <c r="H10" i="4" s="1"/>
  <c r="CV195" i="4"/>
  <c r="BV162" i="5"/>
  <c r="BV192" i="5" s="1"/>
  <c r="AZ187" i="5"/>
  <c r="AZ192" i="5"/>
  <c r="CV198" i="4"/>
  <c r="BN199" i="4"/>
  <c r="AY195" i="4"/>
  <c r="AJ169" i="4"/>
  <c r="AJ140" i="4"/>
  <c r="AI140" i="4" s="1"/>
  <c r="BE140" i="4" s="1"/>
  <c r="BJ140" i="4"/>
  <c r="CB114" i="4"/>
  <c r="BD121" i="4"/>
  <c r="BW105" i="4"/>
  <c r="AJ105" i="4"/>
  <c r="DM90" i="4"/>
  <c r="CQ103" i="4"/>
  <c r="BV49" i="4"/>
  <c r="AJ46" i="4"/>
  <c r="AI46" i="4" s="1"/>
  <c r="BE46" i="4" s="1"/>
  <c r="BZ46" i="4"/>
  <c r="BF46" i="4" s="1"/>
  <c r="BM44" i="4"/>
  <c r="AQ194" i="4"/>
  <c r="DN37" i="4"/>
  <c r="DL33" i="4"/>
  <c r="CX33" i="4" s="1"/>
  <c r="CB33" i="4"/>
  <c r="AJ116" i="5"/>
  <c r="AI116" i="5" s="1"/>
  <c r="BE116" i="5" s="1"/>
  <c r="BZ116" i="5"/>
  <c r="BF116" i="5" s="1"/>
  <c r="BD121" i="5"/>
  <c r="BF117" i="5"/>
  <c r="BZ86" i="4"/>
  <c r="BF86" i="4" s="1"/>
  <c r="AJ86" i="4"/>
  <c r="AI86" i="4" s="1"/>
  <c r="BE86" i="4" s="1"/>
  <c r="AY198" i="4"/>
  <c r="CB162" i="4"/>
  <c r="DM64" i="4"/>
  <c r="CX64" i="4" s="1"/>
  <c r="CB64" i="4"/>
  <c r="CA64" i="4" s="1"/>
  <c r="CW64" i="4" s="1"/>
  <c r="AJ62" i="4"/>
  <c r="AI62" i="4" s="1"/>
  <c r="BE62" i="4" s="1"/>
  <c r="BU62" i="4"/>
  <c r="DF48" i="4"/>
  <c r="CJ67" i="4"/>
  <c r="CJ189" i="4" s="1"/>
  <c r="BT47" i="4"/>
  <c r="BF47" i="4" s="1"/>
  <c r="BL41" i="4"/>
  <c r="BF41" i="4" s="1"/>
  <c r="AJ41" i="4"/>
  <c r="AI41" i="4" s="1"/>
  <c r="BE41" i="4" s="1"/>
  <c r="AL67" i="4"/>
  <c r="AL189" i="4" s="1"/>
  <c r="DD101" i="5"/>
  <c r="CX101" i="5" s="1"/>
  <c r="CB101" i="5"/>
  <c r="CB154" i="5"/>
  <c r="DB154" i="5"/>
  <c r="CS198" i="4"/>
  <c r="AX198" i="4"/>
  <c r="CJ194" i="4"/>
  <c r="CJ197" i="4" s="1"/>
  <c r="CJ199" i="4" s="1"/>
  <c r="AN194" i="4"/>
  <c r="CH192" i="4"/>
  <c r="BJ150" i="4"/>
  <c r="AJ117" i="4"/>
  <c r="AI117" i="4" s="1"/>
  <c r="BE117" i="4" s="1"/>
  <c r="BW198" i="4"/>
  <c r="AJ102" i="4"/>
  <c r="AI102" i="4" s="1"/>
  <c r="BE102" i="4" s="1"/>
  <c r="BZ102" i="4"/>
  <c r="BF102" i="4" s="1"/>
  <c r="CB101" i="4"/>
  <c r="AJ101" i="4"/>
  <c r="AI101" i="4" s="1"/>
  <c r="BE101" i="4" s="1"/>
  <c r="BJ101" i="4"/>
  <c r="BJ60" i="4"/>
  <c r="CB50" i="4"/>
  <c r="DP39" i="4"/>
  <c r="DP194" i="4" s="1"/>
  <c r="CT67" i="4"/>
  <c r="CT189" i="4" s="1"/>
  <c r="CT194" i="4"/>
  <c r="CT197" i="4" s="1"/>
  <c r="CT199" i="4" s="1"/>
  <c r="BZ33" i="4"/>
  <c r="BD195" i="4"/>
  <c r="BA197" i="4"/>
  <c r="BA199" i="4" s="1"/>
  <c r="AY196" i="4"/>
  <c r="AQ196" i="4"/>
  <c r="AN187" i="4"/>
  <c r="DD192" i="4"/>
  <c r="CV121" i="4"/>
  <c r="BL43" i="4"/>
  <c r="AJ43" i="4"/>
  <c r="AI43" i="4" s="1"/>
  <c r="BE43" i="4" s="1"/>
  <c r="BU39" i="4"/>
  <c r="AY194" i="4"/>
  <c r="AJ35" i="4"/>
  <c r="AI35" i="4" s="1"/>
  <c r="BE35" i="4" s="1"/>
  <c r="DM25" i="5"/>
  <c r="CQ34" i="5"/>
  <c r="CB25" i="5"/>
  <c r="CA25" i="5" s="1"/>
  <c r="CW25" i="5" s="1"/>
  <c r="CB50" i="5"/>
  <c r="H50" i="5" s="1"/>
  <c r="DM50" i="5"/>
  <c r="DD75" i="5"/>
  <c r="CB75" i="5"/>
  <c r="AJ101" i="5"/>
  <c r="AI101" i="5" s="1"/>
  <c r="BE101" i="5" s="1"/>
  <c r="BL101" i="5"/>
  <c r="AZ187" i="4"/>
  <c r="H63" i="4"/>
  <c r="I63" i="4" s="1"/>
  <c r="CA63" i="4"/>
  <c r="CW63" i="4" s="1"/>
  <c r="BZ185" i="5"/>
  <c r="BF185" i="5" s="1"/>
  <c r="CB145" i="4"/>
  <c r="CA145" i="4" s="1"/>
  <c r="CW145" i="4" s="1"/>
  <c r="CH194" i="4"/>
  <c r="BD194" i="4"/>
  <c r="AL194" i="4"/>
  <c r="AL197" i="4" s="1"/>
  <c r="AL199" i="4" s="1"/>
  <c r="AP193" i="4"/>
  <c r="DR116" i="4"/>
  <c r="AN196" i="4"/>
  <c r="AJ92" i="4"/>
  <c r="AI92" i="4" s="1"/>
  <c r="BE92" i="4" s="1"/>
  <c r="BL18" i="4"/>
  <c r="BL193" i="4" s="1"/>
  <c r="AJ45" i="5"/>
  <c r="AI45" i="5" s="1"/>
  <c r="BE45" i="5" s="1"/>
  <c r="AS194" i="5"/>
  <c r="AS67" i="5"/>
  <c r="BO48" i="5"/>
  <c r="DM100" i="5"/>
  <c r="CX100" i="5" s="1"/>
  <c r="CB100" i="5"/>
  <c r="H100" i="5" s="1"/>
  <c r="I100" i="5" s="1"/>
  <c r="BF112" i="4"/>
  <c r="BV121" i="4"/>
  <c r="AJ89" i="4"/>
  <c r="AI89" i="4" s="1"/>
  <c r="BE89" i="4" s="1"/>
  <c r="CE67" i="4"/>
  <c r="CE189" i="4" s="1"/>
  <c r="CF67" i="4"/>
  <c r="AJ53" i="5"/>
  <c r="AI53" i="5" s="1"/>
  <c r="BE53" i="5" s="1"/>
  <c r="BZ53" i="5"/>
  <c r="BF53" i="5" s="1"/>
  <c r="AJ126" i="5"/>
  <c r="BJ126" i="5"/>
  <c r="CH192" i="5"/>
  <c r="DD162" i="5"/>
  <c r="DD192" i="5" s="1"/>
  <c r="BD192" i="4"/>
  <c r="I150" i="4"/>
  <c r="BF111" i="4"/>
  <c r="DE91" i="4"/>
  <c r="CX76" i="4"/>
  <c r="DR66" i="4"/>
  <c r="CR67" i="4"/>
  <c r="AJ44" i="4"/>
  <c r="BD67" i="5"/>
  <c r="AJ46" i="5"/>
  <c r="AI46" i="5" s="1"/>
  <c r="BE46" i="5" s="1"/>
  <c r="CF196" i="5"/>
  <c r="DB90" i="5"/>
  <c r="CX90" i="5" s="1"/>
  <c r="AJ100" i="5"/>
  <c r="BU100" i="5"/>
  <c r="AJ106" i="5"/>
  <c r="AI106" i="5" s="1"/>
  <c r="BE106" i="5" s="1"/>
  <c r="BW106" i="5"/>
  <c r="BW198" i="5" s="1"/>
  <c r="BZ160" i="4"/>
  <c r="AJ147" i="4"/>
  <c r="AI147" i="4" s="1"/>
  <c r="BE147" i="4" s="1"/>
  <c r="CX140" i="4"/>
  <c r="AJ116" i="4"/>
  <c r="BZ77" i="4"/>
  <c r="BF77" i="4" s="1"/>
  <c r="AJ39" i="4"/>
  <c r="CF103" i="5"/>
  <c r="CX102" i="4"/>
  <c r="AJ75" i="4"/>
  <c r="AI75" i="4" s="1"/>
  <c r="BE75" i="4" s="1"/>
  <c r="AQ67" i="4"/>
  <c r="BF24" i="4"/>
  <c r="AP103" i="5"/>
  <c r="BZ77" i="5"/>
  <c r="BF77" i="5" s="1"/>
  <c r="BU99" i="5"/>
  <c r="AJ99" i="5"/>
  <c r="CX10" i="5"/>
  <c r="BT33" i="5"/>
  <c r="BF33" i="5" s="1"/>
  <c r="CB37" i="5"/>
  <c r="AJ150" i="5"/>
  <c r="AI150" i="5" s="1"/>
  <c r="BE150" i="5" s="1"/>
  <c r="BJ150" i="5"/>
  <c r="BF150" i="5" s="1"/>
  <c r="BU195" i="4"/>
  <c r="CB35" i="5"/>
  <c r="H35" i="5" s="1"/>
  <c r="CH67" i="5"/>
  <c r="CB57" i="5"/>
  <c r="BF107" i="5"/>
  <c r="BV121" i="5"/>
  <c r="CQ198" i="5"/>
  <c r="CB112" i="5"/>
  <c r="H112" i="5" s="1"/>
  <c r="I112" i="5" s="1"/>
  <c r="CB123" i="5"/>
  <c r="H123" i="5" s="1"/>
  <c r="I123" i="5" s="1"/>
  <c r="DD123" i="5"/>
  <c r="CR67" i="5"/>
  <c r="BF72" i="5"/>
  <c r="AI86" i="5"/>
  <c r="BE86" i="5" s="1"/>
  <c r="BL95" i="5"/>
  <c r="AY121" i="5"/>
  <c r="BF126" i="5"/>
  <c r="BA197" i="5"/>
  <c r="AJ24" i="5"/>
  <c r="AI24" i="5" s="1"/>
  <c r="BE24" i="5" s="1"/>
  <c r="CB30" i="5"/>
  <c r="AS189" i="5"/>
  <c r="BF38" i="5"/>
  <c r="AJ44" i="5"/>
  <c r="AI44" i="5" s="1"/>
  <c r="BE44" i="5" s="1"/>
  <c r="CB44" i="5"/>
  <c r="CA44" i="5" s="1"/>
  <c r="CW44" i="5" s="1"/>
  <c r="BZ86" i="5"/>
  <c r="BF86" i="5" s="1"/>
  <c r="CX91" i="5"/>
  <c r="AJ108" i="5"/>
  <c r="BF111" i="5"/>
  <c r="AJ112" i="5"/>
  <c r="AI112" i="5" s="1"/>
  <c r="BE112" i="5" s="1"/>
  <c r="AZ121" i="5"/>
  <c r="BJ148" i="5"/>
  <c r="BZ163" i="5"/>
  <c r="AJ184" i="5"/>
  <c r="AI184" i="5" s="1"/>
  <c r="BE184" i="5" s="1"/>
  <c r="BD193" i="5"/>
  <c r="BL43" i="5"/>
  <c r="BF43" i="5" s="1"/>
  <c r="BM45" i="5"/>
  <c r="AJ54" i="5"/>
  <c r="AI54" i="5" s="1"/>
  <c r="BE54" i="5" s="1"/>
  <c r="BZ59" i="5"/>
  <c r="BF59" i="5" s="1"/>
  <c r="DN63" i="5"/>
  <c r="CX63" i="5" s="1"/>
  <c r="CX79" i="5"/>
  <c r="BJ151" i="5"/>
  <c r="BF151" i="5" s="1"/>
  <c r="AK189" i="5"/>
  <c r="BF63" i="5"/>
  <c r="BF69" i="5"/>
  <c r="BD198" i="5"/>
  <c r="BF156" i="5"/>
  <c r="DB34" i="5"/>
  <c r="H6" i="5"/>
  <c r="I6" i="5" s="1"/>
  <c r="CA6" i="5"/>
  <c r="CW6" i="5" s="1"/>
  <c r="AB195" i="5"/>
  <c r="AB34" i="5"/>
  <c r="DM16" i="5"/>
  <c r="AG193" i="5"/>
  <c r="DR17" i="5"/>
  <c r="BZ17" i="5"/>
  <c r="CX21" i="5"/>
  <c r="DR22" i="5"/>
  <c r="DR195" i="5" s="1"/>
  <c r="CB22" i="5"/>
  <c r="CA24" i="5"/>
  <c r="CW24" i="5" s="1"/>
  <c r="I24" i="5"/>
  <c r="CV34" i="5"/>
  <c r="CX58" i="5"/>
  <c r="CB76" i="5"/>
  <c r="DD76" i="5"/>
  <c r="CX76" i="5" s="1"/>
  <c r="CA93" i="5"/>
  <c r="CW93" i="5" s="1"/>
  <c r="H93" i="5"/>
  <c r="AB197" i="5"/>
  <c r="AB199" i="5" s="1"/>
  <c r="BX195" i="5"/>
  <c r="BX34" i="5"/>
  <c r="DC195" i="5"/>
  <c r="DC34" i="5"/>
  <c r="CX5" i="5"/>
  <c r="AB194" i="5"/>
  <c r="BU39" i="5"/>
  <c r="BF39" i="5" s="1"/>
  <c r="M39" i="5"/>
  <c r="I39" i="5" s="1"/>
  <c r="AB67" i="5"/>
  <c r="DM39" i="5"/>
  <c r="DM194" i="5" s="1"/>
  <c r="CA57" i="5"/>
  <c r="CW57" i="5" s="1"/>
  <c r="H57" i="5"/>
  <c r="I57" i="5" s="1"/>
  <c r="BF74" i="5"/>
  <c r="CA77" i="5"/>
  <c r="CW77" i="5" s="1"/>
  <c r="H77" i="5"/>
  <c r="I77" i="5" s="1"/>
  <c r="DB155" i="5"/>
  <c r="BJ155" i="5"/>
  <c r="BP195" i="5"/>
  <c r="BP34" i="5"/>
  <c r="AI6" i="5"/>
  <c r="BE6" i="5" s="1"/>
  <c r="AJ12" i="5"/>
  <c r="AI12" i="5" s="1"/>
  <c r="BE12" i="5" s="1"/>
  <c r="CX12" i="5"/>
  <c r="AI13" i="5"/>
  <c r="BE13" i="5" s="1"/>
  <c r="BU16" i="5"/>
  <c r="BF16" i="5" s="1"/>
  <c r="AP193" i="5"/>
  <c r="BL17" i="5"/>
  <c r="DL193" i="5"/>
  <c r="AQ193" i="5"/>
  <c r="AQ34" i="5"/>
  <c r="CB19" i="5"/>
  <c r="DE19" i="5"/>
  <c r="BV23" i="5"/>
  <c r="BF23" i="5" s="1"/>
  <c r="AJ23" i="5"/>
  <c r="AI23" i="5" s="1"/>
  <c r="I28" i="5"/>
  <c r="CA28" i="5"/>
  <c r="CW28" i="5" s="1"/>
  <c r="AI28" i="5"/>
  <c r="BE28" i="5" s="1"/>
  <c r="BT32" i="5"/>
  <c r="BF32" i="5" s="1"/>
  <c r="AJ32" i="5"/>
  <c r="AI32" i="5" s="1"/>
  <c r="BE32" i="5" s="1"/>
  <c r="CD194" i="5"/>
  <c r="CB36" i="5"/>
  <c r="CD67" i="5"/>
  <c r="CD189" i="5" s="1"/>
  <c r="CZ36" i="5"/>
  <c r="H38" i="5"/>
  <c r="I38" i="5" s="1"/>
  <c r="CA38" i="5"/>
  <c r="CW38" i="5" s="1"/>
  <c r="CZ47" i="5"/>
  <c r="M47" i="5"/>
  <c r="BH47" i="5"/>
  <c r="BL60" i="5"/>
  <c r="AJ60" i="5"/>
  <c r="AI60" i="5" s="1"/>
  <c r="BE60" i="5" s="1"/>
  <c r="DL65" i="5"/>
  <c r="CB65" i="5"/>
  <c r="BZ82" i="5"/>
  <c r="BF82" i="5" s="1"/>
  <c r="CX6" i="5"/>
  <c r="AJ9" i="5"/>
  <c r="AI9" i="5" s="1"/>
  <c r="BE9" i="5" s="1"/>
  <c r="BT9" i="5"/>
  <c r="BF9" i="5" s="1"/>
  <c r="CX9" i="5"/>
  <c r="BF12" i="5"/>
  <c r="O193" i="5"/>
  <c r="O34" i="5"/>
  <c r="CZ19" i="5"/>
  <c r="M19" i="5"/>
  <c r="AI19" i="5" s="1"/>
  <c r="BE19" i="5" s="1"/>
  <c r="BH19" i="5"/>
  <c r="BH193" i="5" s="1"/>
  <c r="H55" i="5"/>
  <c r="DD70" i="5"/>
  <c r="CX70" i="5" s="1"/>
  <c r="M70" i="5"/>
  <c r="S103" i="5"/>
  <c r="CP34" i="5"/>
  <c r="CB7" i="5"/>
  <c r="I14" i="5"/>
  <c r="H15" i="5"/>
  <c r="I15" i="5" s="1"/>
  <c r="CA15" i="5"/>
  <c r="CW15" i="5" s="1"/>
  <c r="DB194" i="5"/>
  <c r="DB67" i="5"/>
  <c r="BL42" i="5"/>
  <c r="CV194" i="5"/>
  <c r="CB46" i="5"/>
  <c r="CV67" i="5"/>
  <c r="DE48" i="5"/>
  <c r="Z194" i="5"/>
  <c r="Z197" i="5" s="1"/>
  <c r="Z199" i="5" s="1"/>
  <c r="DK55" i="5"/>
  <c r="CX55" i="5" s="1"/>
  <c r="BS55" i="5"/>
  <c r="BS194" i="5" s="1"/>
  <c r="Z67" i="5"/>
  <c r="M55" i="5"/>
  <c r="DJ196" i="5"/>
  <c r="DJ103" i="5"/>
  <c r="CB71" i="5"/>
  <c r="DR71" i="5"/>
  <c r="CX71" i="5" s="1"/>
  <c r="DR72" i="5"/>
  <c r="CX72" i="5" s="1"/>
  <c r="CB72" i="5"/>
  <c r="CY195" i="5"/>
  <c r="CX4" i="5"/>
  <c r="CY34" i="5"/>
  <c r="DJ195" i="5"/>
  <c r="DJ34" i="5"/>
  <c r="BF6" i="5"/>
  <c r="M21" i="5"/>
  <c r="T34" i="5"/>
  <c r="T189" i="5" s="1"/>
  <c r="BM21" i="5"/>
  <c r="BF21" i="5" s="1"/>
  <c r="H25" i="5"/>
  <c r="I25" i="5" s="1"/>
  <c r="AA189" i="5"/>
  <c r="BW67" i="5"/>
  <c r="CB48" i="5"/>
  <c r="BF61" i="5"/>
  <c r="AI63" i="5"/>
  <c r="BE63" i="5" s="1"/>
  <c r="CA68" i="5"/>
  <c r="CW68" i="5" s="1"/>
  <c r="H68" i="5"/>
  <c r="I68" i="5" s="1"/>
  <c r="AI85" i="5"/>
  <c r="BE85" i="5" s="1"/>
  <c r="CA85" i="5"/>
  <c r="CW85" i="5" s="1"/>
  <c r="CZ192" i="5"/>
  <c r="CX155" i="5"/>
  <c r="CZ187" i="5"/>
  <c r="DL31" i="5"/>
  <c r="DL195" i="5" s="1"/>
  <c r="CB33" i="5"/>
  <c r="DL33" i="5"/>
  <c r="CX33" i="5" s="1"/>
  <c r="AP194" i="5"/>
  <c r="AP67" i="5"/>
  <c r="CX37" i="5"/>
  <c r="AR194" i="5"/>
  <c r="AJ48" i="5"/>
  <c r="AI48" i="5" s="1"/>
  <c r="BE48" i="5" s="1"/>
  <c r="BN48" i="5"/>
  <c r="AJ58" i="5"/>
  <c r="BJ58" i="5"/>
  <c r="BF58" i="5" s="1"/>
  <c r="AN67" i="5"/>
  <c r="CX61" i="5"/>
  <c r="AR67" i="5"/>
  <c r="AR189" i="5" s="1"/>
  <c r="AR200" i="5" s="1"/>
  <c r="DJ67" i="5"/>
  <c r="AI91" i="5"/>
  <c r="BE91" i="5" s="1"/>
  <c r="AJ22" i="5"/>
  <c r="AI22" i="5" s="1"/>
  <c r="BZ22" i="5"/>
  <c r="BF22" i="5" s="1"/>
  <c r="CA47" i="5"/>
  <c r="CW47" i="5" s="1"/>
  <c r="H47" i="5"/>
  <c r="T196" i="5"/>
  <c r="M74" i="5"/>
  <c r="DE74" i="5"/>
  <c r="CX74" i="5" s="1"/>
  <c r="BM74" i="5"/>
  <c r="T103" i="5"/>
  <c r="I4" i="5"/>
  <c r="CA4" i="5"/>
  <c r="CW4" i="5" s="1"/>
  <c r="I5" i="5"/>
  <c r="DH34" i="5"/>
  <c r="CA8" i="5"/>
  <c r="CW8" i="5" s="1"/>
  <c r="CA10" i="5"/>
  <c r="CW10" i="5" s="1"/>
  <c r="H10" i="5"/>
  <c r="I10" i="5" s="1"/>
  <c r="CH195" i="5"/>
  <c r="CH34" i="5"/>
  <c r="CB11" i="5"/>
  <c r="CB12" i="5"/>
  <c r="M16" i="5"/>
  <c r="AI16" i="5" s="1"/>
  <c r="BE16" i="5" s="1"/>
  <c r="M17" i="5"/>
  <c r="AI17" i="5" s="1"/>
  <c r="BE17" i="5" s="1"/>
  <c r="BM18" i="5"/>
  <c r="BM34" i="5" s="1"/>
  <c r="H23" i="5"/>
  <c r="I23" i="5" s="1"/>
  <c r="CA23" i="5"/>
  <c r="CW23" i="5" s="1"/>
  <c r="CX30" i="5"/>
  <c r="CA31" i="5"/>
  <c r="CW31" i="5" s="1"/>
  <c r="S189" i="5"/>
  <c r="AX34" i="5"/>
  <c r="BO34" i="5"/>
  <c r="Q194" i="5"/>
  <c r="BJ35" i="5"/>
  <c r="Q67" i="5"/>
  <c r="M35" i="5"/>
  <c r="M51" i="5"/>
  <c r="BZ51" i="5"/>
  <c r="BF51" i="5" s="1"/>
  <c r="AC67" i="5"/>
  <c r="DN62" i="5"/>
  <c r="CX62" i="5" s="1"/>
  <c r="M62" i="5"/>
  <c r="CA62" i="5"/>
  <c r="CW62" i="5" s="1"/>
  <c r="H62" i="5"/>
  <c r="BU65" i="5"/>
  <c r="BF65" i="5" s="1"/>
  <c r="AJ65" i="5"/>
  <c r="AI65" i="5" s="1"/>
  <c r="BE65" i="5" s="1"/>
  <c r="T67" i="5"/>
  <c r="AI68" i="5"/>
  <c r="BE68" i="5" s="1"/>
  <c r="DP196" i="5"/>
  <c r="O196" i="5"/>
  <c r="O103" i="5"/>
  <c r="BH78" i="5"/>
  <c r="BF78" i="5" s="1"/>
  <c r="M78" i="5"/>
  <c r="CZ78" i="5"/>
  <c r="AI126" i="5"/>
  <c r="BE126" i="5" s="1"/>
  <c r="CR195" i="5"/>
  <c r="CR34" i="5"/>
  <c r="AY34" i="5"/>
  <c r="I42" i="5"/>
  <c r="CA42" i="5"/>
  <c r="CW42" i="5" s="1"/>
  <c r="CZ45" i="5"/>
  <c r="CX45" i="5" s="1"/>
  <c r="M45" i="5"/>
  <c r="BH45" i="5"/>
  <c r="BF45" i="5" s="1"/>
  <c r="BD194" i="5"/>
  <c r="AA194" i="5"/>
  <c r="BT47" i="5"/>
  <c r="DL48" i="5"/>
  <c r="BT48" i="5"/>
  <c r="CJ194" i="5"/>
  <c r="DF48" i="5"/>
  <c r="AI55" i="5"/>
  <c r="BE55" i="5" s="1"/>
  <c r="DD58" i="5"/>
  <c r="BL58" i="5"/>
  <c r="M58" i="5"/>
  <c r="CA58" i="5"/>
  <c r="CW58" i="5" s="1"/>
  <c r="AA67" i="5"/>
  <c r="BQ196" i="5"/>
  <c r="BQ103" i="5"/>
  <c r="BQ189" i="5" s="1"/>
  <c r="CV196" i="5"/>
  <c r="AI69" i="5"/>
  <c r="BE69" i="5" s="1"/>
  <c r="I69" i="5"/>
  <c r="I73" i="5"/>
  <c r="CA73" i="5"/>
  <c r="CW73" i="5" s="1"/>
  <c r="I95" i="5"/>
  <c r="BQ198" i="5"/>
  <c r="BQ121" i="5"/>
  <c r="R191" i="5"/>
  <c r="R187" i="5"/>
  <c r="R189" i="5" s="1"/>
  <c r="DC127" i="5"/>
  <c r="CX127" i="5" s="1"/>
  <c r="BK127" i="5"/>
  <c r="BK191" i="5" s="1"/>
  <c r="H129" i="5"/>
  <c r="CA169" i="5"/>
  <c r="CW169" i="5" s="1"/>
  <c r="H169" i="5"/>
  <c r="AX195" i="5"/>
  <c r="AJ4" i="5"/>
  <c r="BW194" i="5"/>
  <c r="CZ195" i="5"/>
  <c r="CZ34" i="5"/>
  <c r="DK195" i="5"/>
  <c r="DK34" i="5"/>
  <c r="BF10" i="5"/>
  <c r="CV195" i="5"/>
  <c r="AP195" i="5"/>
  <c r="CX15" i="5"/>
  <c r="BL18" i="5"/>
  <c r="AJ18" i="5"/>
  <c r="AI18" i="5" s="1"/>
  <c r="BE18" i="5" s="1"/>
  <c r="BP193" i="5"/>
  <c r="I20" i="5"/>
  <c r="H27" i="5"/>
  <c r="I27" i="5" s="1"/>
  <c r="CA27" i="5"/>
  <c r="CW27" i="5" s="1"/>
  <c r="AG34" i="5"/>
  <c r="CU189" i="5"/>
  <c r="CU200" i="5" s="1"/>
  <c r="BG194" i="5"/>
  <c r="BG67" i="5"/>
  <c r="BQ194" i="5"/>
  <c r="BH44" i="5"/>
  <c r="CI194" i="5"/>
  <c r="CI67" i="5"/>
  <c r="AW194" i="5"/>
  <c r="AW67" i="5"/>
  <c r="BF60" i="5"/>
  <c r="CX64" i="5"/>
  <c r="CX65" i="5"/>
  <c r="CJ67" i="5"/>
  <c r="CJ189" i="5" s="1"/>
  <c r="BG196" i="5"/>
  <c r="BG103" i="5"/>
  <c r="BR196" i="5"/>
  <c r="BR103" i="5"/>
  <c r="DL196" i="5"/>
  <c r="DL103" i="5"/>
  <c r="CI103" i="5"/>
  <c r="CB81" i="5"/>
  <c r="BH84" i="5"/>
  <c r="BF84" i="5" s="1"/>
  <c r="CA94" i="5"/>
  <c r="CW94" i="5" s="1"/>
  <c r="H94" i="5"/>
  <c r="I94" i="5" s="1"/>
  <c r="H96" i="5"/>
  <c r="DE191" i="5"/>
  <c r="DO191" i="5"/>
  <c r="CA154" i="5"/>
  <c r="CW154" i="5" s="1"/>
  <c r="H154" i="5"/>
  <c r="I154" i="5" s="1"/>
  <c r="M44" i="5"/>
  <c r="BM44" i="5"/>
  <c r="BM67" i="5" s="1"/>
  <c r="DE44" i="5"/>
  <c r="CX44" i="5" s="1"/>
  <c r="H54" i="5"/>
  <c r="I54" i="5" s="1"/>
  <c r="CA54" i="5"/>
  <c r="CW54" i="5" s="1"/>
  <c r="I61" i="5"/>
  <c r="CA61" i="5"/>
  <c r="CW61" i="5" s="1"/>
  <c r="BJ196" i="5"/>
  <c r="AI70" i="5"/>
  <c r="BE70" i="5" s="1"/>
  <c r="BG195" i="5"/>
  <c r="BR195" i="5"/>
  <c r="CX11" i="5"/>
  <c r="CA13" i="5"/>
  <c r="CW13" i="5" s="1"/>
  <c r="BS193" i="5"/>
  <c r="BF26" i="5"/>
  <c r="BR34" i="5"/>
  <c r="S194" i="5"/>
  <c r="DD35" i="5"/>
  <c r="CX35" i="5" s="1"/>
  <c r="BF36" i="5"/>
  <c r="M48" i="5"/>
  <c r="CB49" i="5"/>
  <c r="CZ49" i="5"/>
  <c r="CX49" i="5" s="1"/>
  <c r="M50" i="5"/>
  <c r="BF52" i="5"/>
  <c r="BZ61" i="5"/>
  <c r="DR61" i="5"/>
  <c r="CB63" i="5"/>
  <c r="BI67" i="5"/>
  <c r="BI189" i="5" s="1"/>
  <c r="BI200" i="5" s="1"/>
  <c r="CA79" i="5"/>
  <c r="CW79" i="5" s="1"/>
  <c r="H79" i="5"/>
  <c r="I79" i="5" s="1"/>
  <c r="BM83" i="5"/>
  <c r="BF83" i="5" s="1"/>
  <c r="AJ83" i="5"/>
  <c r="AI83" i="5" s="1"/>
  <c r="BE83" i="5" s="1"/>
  <c r="CA83" i="5"/>
  <c r="CW83" i="5" s="1"/>
  <c r="H83" i="5"/>
  <c r="I83" i="5" s="1"/>
  <c r="BF85" i="5"/>
  <c r="CX92" i="5"/>
  <c r="BF94" i="5"/>
  <c r="H97" i="5"/>
  <c r="BL100" i="5"/>
  <c r="BF100" i="5" s="1"/>
  <c r="AI102" i="5"/>
  <c r="BE102" i="5" s="1"/>
  <c r="BG198" i="5"/>
  <c r="BG121" i="5"/>
  <c r="BU198" i="5"/>
  <c r="BU121" i="5"/>
  <c r="AJ177" i="5"/>
  <c r="AI177" i="5" s="1"/>
  <c r="BE177" i="5" s="1"/>
  <c r="BL177" i="5"/>
  <c r="BF177" i="5" s="1"/>
  <c r="AI62" i="5"/>
  <c r="BE62" i="5" s="1"/>
  <c r="BH195" i="5"/>
  <c r="BS195" i="5"/>
  <c r="BS34" i="5"/>
  <c r="DE195" i="5"/>
  <c r="DO195" i="5"/>
  <c r="DH193" i="5"/>
  <c r="DN23" i="5"/>
  <c r="DN34" i="5" s="1"/>
  <c r="BF27" i="5"/>
  <c r="BG34" i="5"/>
  <c r="DO34" i="5"/>
  <c r="AY67" i="5"/>
  <c r="M41" i="5"/>
  <c r="AI41" i="5" s="1"/>
  <c r="BE41" i="5" s="1"/>
  <c r="DD41" i="5"/>
  <c r="CX41" i="5" s="1"/>
  <c r="AI43" i="5"/>
  <c r="BE43" i="5" s="1"/>
  <c r="CX43" i="5"/>
  <c r="CP194" i="5"/>
  <c r="CP67" i="5"/>
  <c r="BZ50" i="5"/>
  <c r="BF50" i="5" s="1"/>
  <c r="AI61" i="5"/>
  <c r="BE61" i="5" s="1"/>
  <c r="M64" i="5"/>
  <c r="BZ64" i="5"/>
  <c r="DR64" i="5"/>
  <c r="M196" i="5"/>
  <c r="AY196" i="5"/>
  <c r="AY103" i="5"/>
  <c r="BU70" i="5"/>
  <c r="BF70" i="5" s="1"/>
  <c r="BL71" i="5"/>
  <c r="AJ71" i="5"/>
  <c r="AI71" i="5" s="1"/>
  <c r="BE71" i="5" s="1"/>
  <c r="CA84" i="5"/>
  <c r="CW84" i="5" s="1"/>
  <c r="I84" i="5"/>
  <c r="BF90" i="5"/>
  <c r="CA91" i="5"/>
  <c r="CW91" i="5" s="1"/>
  <c r="H91" i="5"/>
  <c r="I91" i="5" s="1"/>
  <c r="AI100" i="5"/>
  <c r="BE100" i="5" s="1"/>
  <c r="AJ115" i="5"/>
  <c r="AI115" i="5" s="1"/>
  <c r="BE115" i="5" s="1"/>
  <c r="BT115" i="5"/>
  <c r="BF115" i="5" s="1"/>
  <c r="DG191" i="5"/>
  <c r="AJ139" i="5"/>
  <c r="AI139" i="5" s="1"/>
  <c r="BE139" i="5" s="1"/>
  <c r="BJ139" i="5"/>
  <c r="BF139" i="5" s="1"/>
  <c r="H70" i="5"/>
  <c r="CA70" i="5"/>
  <c r="CW70" i="5" s="1"/>
  <c r="CB90" i="5"/>
  <c r="DM90" i="5"/>
  <c r="CX93" i="5"/>
  <c r="AJ96" i="5"/>
  <c r="AI96" i="5" s="1"/>
  <c r="BE96" i="5" s="1"/>
  <c r="BL96" i="5"/>
  <c r="M98" i="5"/>
  <c r="CZ98" i="5"/>
  <c r="CX98" i="5" s="1"/>
  <c r="DR102" i="5"/>
  <c r="CX102" i="5" s="1"/>
  <c r="M102" i="5"/>
  <c r="BZ102" i="5"/>
  <c r="BF102" i="5" s="1"/>
  <c r="BJ103" i="5"/>
  <c r="AP187" i="5"/>
  <c r="BL122" i="5"/>
  <c r="AJ122" i="5"/>
  <c r="CA132" i="5"/>
  <c r="CW132" i="5" s="1"/>
  <c r="H132" i="5"/>
  <c r="I132" i="5" s="1"/>
  <c r="H150" i="5"/>
  <c r="CA150" i="5"/>
  <c r="CW150" i="5" s="1"/>
  <c r="BH192" i="5"/>
  <c r="DB153" i="5"/>
  <c r="CX153" i="5" s="1"/>
  <c r="BJ153" i="5"/>
  <c r="CA174" i="5"/>
  <c r="CW174" i="5" s="1"/>
  <c r="BT4" i="5"/>
  <c r="CP195" i="5"/>
  <c r="DG195" i="5"/>
  <c r="DP195" i="5"/>
  <c r="CX16" i="5"/>
  <c r="BG193" i="5"/>
  <c r="BF17" i="5"/>
  <c r="BU193" i="5"/>
  <c r="BF24" i="5"/>
  <c r="AY195" i="5"/>
  <c r="BU25" i="5"/>
  <c r="BF25" i="5" s="1"/>
  <c r="CX25" i="5"/>
  <c r="BW34" i="5"/>
  <c r="DP34" i="5"/>
  <c r="AN194" i="5"/>
  <c r="AJ35" i="5"/>
  <c r="BR194" i="5"/>
  <c r="BR67" i="5"/>
  <c r="CE194" i="5"/>
  <c r="CE67" i="5"/>
  <c r="CE189" i="5" s="1"/>
  <c r="DA35" i="5"/>
  <c r="AL194" i="5"/>
  <c r="AL197" i="5" s="1"/>
  <c r="AL199" i="5" s="1"/>
  <c r="AJ37" i="5"/>
  <c r="AI37" i="5" s="1"/>
  <c r="BE37" i="5" s="1"/>
  <c r="BH37" i="5"/>
  <c r="BF37" i="5" s="1"/>
  <c r="AL67" i="5"/>
  <c r="AL189" i="5" s="1"/>
  <c r="BB194" i="5"/>
  <c r="BB197" i="5" s="1"/>
  <c r="BB199" i="5" s="1"/>
  <c r="BB67" i="5"/>
  <c r="BB189" i="5" s="1"/>
  <c r="AQ194" i="5"/>
  <c r="AQ67" i="5"/>
  <c r="AG194" i="5"/>
  <c r="DR46" i="5"/>
  <c r="CX46" i="5" s="1"/>
  <c r="AG67" i="5"/>
  <c r="BZ46" i="5"/>
  <c r="BF46" i="5" s="1"/>
  <c r="DL47" i="5"/>
  <c r="DL67" i="5" s="1"/>
  <c r="BH48" i="5"/>
  <c r="AI50" i="5"/>
  <c r="BE50" i="5" s="1"/>
  <c r="I56" i="5"/>
  <c r="AI57" i="5"/>
  <c r="BE57" i="5" s="1"/>
  <c r="H58" i="5"/>
  <c r="BF62" i="5"/>
  <c r="O67" i="5"/>
  <c r="AG196" i="5"/>
  <c r="AG103" i="5"/>
  <c r="BZ68" i="5"/>
  <c r="BF68" i="5" s="1"/>
  <c r="DH196" i="5"/>
  <c r="DH103" i="5"/>
  <c r="DR68" i="5"/>
  <c r="CX68" i="5" s="1"/>
  <c r="AJ76" i="5"/>
  <c r="AI76" i="5" s="1"/>
  <c r="BE76" i="5" s="1"/>
  <c r="BL76" i="5"/>
  <c r="BF76" i="5" s="1"/>
  <c r="AI80" i="5"/>
  <c r="BE80" i="5" s="1"/>
  <c r="CX83" i="5"/>
  <c r="BL92" i="5"/>
  <c r="BF92" i="5" s="1"/>
  <c r="AJ92" i="5"/>
  <c r="BF95" i="5"/>
  <c r="CX95" i="5"/>
  <c r="BT103" i="5"/>
  <c r="CV103" i="5"/>
  <c r="BT187" i="5"/>
  <c r="CA125" i="5"/>
  <c r="CW125" i="5" s="1"/>
  <c r="H125" i="5"/>
  <c r="I125" i="5" s="1"/>
  <c r="CX130" i="5"/>
  <c r="BF138" i="5"/>
  <c r="CX141" i="5"/>
  <c r="BF155" i="5"/>
  <c r="BF157" i="5"/>
  <c r="BW193" i="5"/>
  <c r="CY193" i="5"/>
  <c r="DJ193" i="5"/>
  <c r="AZ195" i="5"/>
  <c r="G189" i="5"/>
  <c r="Z189" i="5"/>
  <c r="Z200" i="5" s="1"/>
  <c r="AZ34" i="5"/>
  <c r="CG189" i="5"/>
  <c r="BP194" i="5"/>
  <c r="DL194" i="5"/>
  <c r="AZ194" i="5"/>
  <c r="BX194" i="5"/>
  <c r="CZ54" i="5"/>
  <c r="CX54" i="5" s="1"/>
  <c r="BH54" i="5"/>
  <c r="BF54" i="5" s="1"/>
  <c r="AJ64" i="5"/>
  <c r="CK67" i="5"/>
  <c r="CK189" i="5" s="1"/>
  <c r="CT67" i="5"/>
  <c r="CT189" i="5" s="1"/>
  <c r="BZ80" i="5"/>
  <c r="BF80" i="5" s="1"/>
  <c r="M80" i="5"/>
  <c r="CX81" i="5"/>
  <c r="DR85" i="5"/>
  <c r="CX85" i="5" s="1"/>
  <c r="M85" i="5"/>
  <c r="I85" i="5" s="1"/>
  <c r="AI88" i="5"/>
  <c r="BE88" i="5" s="1"/>
  <c r="BL89" i="5"/>
  <c r="BF89" i="5" s="1"/>
  <c r="AJ89" i="5"/>
  <c r="CX96" i="5"/>
  <c r="DD97" i="5"/>
  <c r="M97" i="5"/>
  <c r="I97" i="5" s="1"/>
  <c r="BH198" i="5"/>
  <c r="BV198" i="5"/>
  <c r="CX106" i="5"/>
  <c r="DD121" i="5"/>
  <c r="CR198" i="5"/>
  <c r="DN117" i="5"/>
  <c r="DN198" i="5" s="1"/>
  <c r="CR121" i="5"/>
  <c r="DD191" i="5"/>
  <c r="DN191" i="5"/>
  <c r="CA136" i="5"/>
  <c r="CW136" i="5" s="1"/>
  <c r="BF159" i="5"/>
  <c r="DD177" i="5"/>
  <c r="CX177" i="5" s="1"/>
  <c r="CB177" i="5"/>
  <c r="BD195" i="5"/>
  <c r="BR193" i="5"/>
  <c r="CB17" i="5"/>
  <c r="DC193" i="5"/>
  <c r="DM193" i="5"/>
  <c r="T193" i="5"/>
  <c r="CQ195" i="5"/>
  <c r="AC189" i="5"/>
  <c r="AU189" i="5"/>
  <c r="AU200" i="5" s="1"/>
  <c r="DI189" i="5"/>
  <c r="DI200" i="5" s="1"/>
  <c r="T194" i="5"/>
  <c r="BH35" i="5"/>
  <c r="CF194" i="5"/>
  <c r="DE35" i="5"/>
  <c r="DO194" i="5"/>
  <c r="DO67" i="5"/>
  <c r="AJ39" i="5"/>
  <c r="CQ194" i="5"/>
  <c r="CQ67" i="5"/>
  <c r="CO194" i="5"/>
  <c r="DK52" i="5"/>
  <c r="CB66" i="5"/>
  <c r="BV196" i="5"/>
  <c r="BV103" i="5"/>
  <c r="DN196" i="5"/>
  <c r="DN103" i="5"/>
  <c r="DR73" i="5"/>
  <c r="CX73" i="5" s="1"/>
  <c r="CX77" i="5"/>
  <c r="BM81" i="5"/>
  <c r="BF81" i="5" s="1"/>
  <c r="M81" i="5"/>
  <c r="BF88" i="5"/>
  <c r="AN196" i="5"/>
  <c r="AN103" i="5"/>
  <c r="AJ90" i="5"/>
  <c r="AI90" i="5" s="1"/>
  <c r="BE90" i="5" s="1"/>
  <c r="M92" i="5"/>
  <c r="I92" i="5" s="1"/>
  <c r="M198" i="5"/>
  <c r="DJ198" i="5"/>
  <c r="DJ121" i="5"/>
  <c r="BF112" i="5"/>
  <c r="BV191" i="5"/>
  <c r="I145" i="5"/>
  <c r="CA145" i="5"/>
  <c r="CW145" i="5" s="1"/>
  <c r="R192" i="5"/>
  <c r="DC149" i="5"/>
  <c r="BK149" i="5"/>
  <c r="M149" i="5"/>
  <c r="BJ163" i="5"/>
  <c r="DB163" i="5"/>
  <c r="CX163" i="5" s="1"/>
  <c r="M163" i="5"/>
  <c r="DD17" i="5"/>
  <c r="DD193" i="5" s="1"/>
  <c r="BD34" i="5"/>
  <c r="BI194" i="5"/>
  <c r="CH194" i="5"/>
  <c r="BO194" i="5"/>
  <c r="AX67" i="5"/>
  <c r="CF67" i="5"/>
  <c r="CO67" i="5"/>
  <c r="BD196" i="5"/>
  <c r="BO196" i="5"/>
  <c r="BO103" i="5"/>
  <c r="BW195" i="5"/>
  <c r="BW103" i="5"/>
  <c r="DE196" i="5"/>
  <c r="DO196" i="5"/>
  <c r="DO103" i="5"/>
  <c r="CA69" i="5"/>
  <c r="CW69" i="5" s="1"/>
  <c r="AI78" i="5"/>
  <c r="BE78" i="5" s="1"/>
  <c r="AI79" i="5"/>
  <c r="BE79" i="5" s="1"/>
  <c r="AI81" i="5"/>
  <c r="BE81" i="5" s="1"/>
  <c r="BM84" i="5"/>
  <c r="AJ84" i="5"/>
  <c r="AI84" i="5" s="1"/>
  <c r="BE84" i="5" s="1"/>
  <c r="CO196" i="5"/>
  <c r="CB87" i="5"/>
  <c r="CO103" i="5"/>
  <c r="BF91" i="5"/>
  <c r="CX97" i="5"/>
  <c r="H102" i="5"/>
  <c r="CA102" i="5"/>
  <c r="CW102" i="5" s="1"/>
  <c r="DE103" i="5"/>
  <c r="DK198" i="5"/>
  <c r="DK121" i="5"/>
  <c r="CX109" i="5"/>
  <c r="AX198" i="5"/>
  <c r="BT110" i="5"/>
  <c r="BF110" i="5" s="1"/>
  <c r="AX121" i="5"/>
  <c r="AJ110" i="5"/>
  <c r="AI110" i="5" s="1"/>
  <c r="BE110" i="5" s="1"/>
  <c r="AJ117" i="5"/>
  <c r="AI117" i="5" s="1"/>
  <c r="BE117" i="5" s="1"/>
  <c r="BW118" i="5"/>
  <c r="BF118" i="5" s="1"/>
  <c r="CX122" i="5"/>
  <c r="Q191" i="5"/>
  <c r="Q187" i="5"/>
  <c r="M124" i="5"/>
  <c r="BJ124" i="5"/>
  <c r="DB124" i="5"/>
  <c r="BO191" i="5"/>
  <c r="BW196" i="5"/>
  <c r="BW191" i="5"/>
  <c r="I128" i="5"/>
  <c r="AJ134" i="5"/>
  <c r="AI134" i="5" s="1"/>
  <c r="BE134" i="5" s="1"/>
  <c r="BJ134" i="5"/>
  <c r="H140" i="5"/>
  <c r="I140" i="5" s="1"/>
  <c r="CA140" i="5"/>
  <c r="CW140" i="5" s="1"/>
  <c r="CA153" i="5"/>
  <c r="CW153" i="5" s="1"/>
  <c r="H153" i="5"/>
  <c r="I153" i="5" s="1"/>
  <c r="I158" i="5"/>
  <c r="CA158" i="5"/>
  <c r="CW158" i="5" s="1"/>
  <c r="BM159" i="5"/>
  <c r="BM187" i="5" s="1"/>
  <c r="DE159" i="5"/>
  <c r="CA185" i="5"/>
  <c r="CW185" i="5" s="1"/>
  <c r="H185" i="5"/>
  <c r="I185" i="5" s="1"/>
  <c r="BM195" i="5"/>
  <c r="DH195" i="5"/>
  <c r="BT193" i="5"/>
  <c r="DO193" i="5"/>
  <c r="W189" i="5"/>
  <c r="W200" i="5" s="1"/>
  <c r="AE189" i="5"/>
  <c r="AE200" i="5" s="1"/>
  <c r="AW189" i="5"/>
  <c r="CL189" i="5"/>
  <c r="CL200" i="5" s="1"/>
  <c r="DH194" i="5"/>
  <c r="CR194" i="5"/>
  <c r="AX194" i="5"/>
  <c r="CX51" i="5"/>
  <c r="BV64" i="5"/>
  <c r="BV67" i="5" s="1"/>
  <c r="BV65" i="5"/>
  <c r="BO67" i="5"/>
  <c r="BX67" i="5"/>
  <c r="DH67" i="5"/>
  <c r="BP196" i="5"/>
  <c r="BP103" i="5"/>
  <c r="DG103" i="5"/>
  <c r="DP103" i="5"/>
  <c r="CX80" i="5"/>
  <c r="DK87" i="5"/>
  <c r="DK103" i="5" s="1"/>
  <c r="I93" i="5"/>
  <c r="AB196" i="5"/>
  <c r="M99" i="5"/>
  <c r="DM99" i="5"/>
  <c r="CX99" i="5" s="1"/>
  <c r="BD103" i="5"/>
  <c r="BP198" i="5"/>
  <c r="BP121" i="5"/>
  <c r="CX116" i="5"/>
  <c r="CX123" i="5"/>
  <c r="S187" i="5"/>
  <c r="S191" i="5"/>
  <c r="BL124" i="5"/>
  <c r="BL191" i="5" s="1"/>
  <c r="CG191" i="5"/>
  <c r="CG197" i="5" s="1"/>
  <c r="CG199" i="5" s="1"/>
  <c r="CB127" i="5"/>
  <c r="CX133" i="5"/>
  <c r="AI141" i="5"/>
  <c r="BE141" i="5" s="1"/>
  <c r="CA141" i="5"/>
  <c r="CW141" i="5" s="1"/>
  <c r="AI143" i="5"/>
  <c r="BE143" i="5" s="1"/>
  <c r="CH196" i="5"/>
  <c r="CH103" i="5"/>
  <c r="BX196" i="5"/>
  <c r="BX103" i="5"/>
  <c r="BL75" i="5"/>
  <c r="BF75" i="5" s="1"/>
  <c r="AJ75" i="5"/>
  <c r="AI75" i="5" s="1"/>
  <c r="BE75" i="5" s="1"/>
  <c r="CI196" i="5"/>
  <c r="BF79" i="5"/>
  <c r="DR82" i="5"/>
  <c r="CX82" i="5" s="1"/>
  <c r="Q196" i="5"/>
  <c r="Q103" i="5"/>
  <c r="M89" i="5"/>
  <c r="DB89" i="5"/>
  <c r="CX89" i="5" s="1"/>
  <c r="AJ94" i="5"/>
  <c r="AI94" i="5" s="1"/>
  <c r="BE94" i="5" s="1"/>
  <c r="BL94" i="5"/>
  <c r="BJ198" i="5"/>
  <c r="BJ121" i="5"/>
  <c r="BZ114" i="5"/>
  <c r="BF114" i="5" s="1"/>
  <c r="BF123" i="5"/>
  <c r="DB135" i="5"/>
  <c r="CX135" i="5" s="1"/>
  <c r="BJ135" i="5"/>
  <c r="H138" i="5"/>
  <c r="I138" i="5" s="1"/>
  <c r="CA138" i="5"/>
  <c r="CW138" i="5" s="1"/>
  <c r="DB146" i="5"/>
  <c r="CX146" i="5" s="1"/>
  <c r="BJ146" i="5"/>
  <c r="BF146" i="5" s="1"/>
  <c r="M146" i="5"/>
  <c r="DQ192" i="5"/>
  <c r="DQ197" i="5" s="1"/>
  <c r="DQ199" i="5" s="1"/>
  <c r="CX156" i="5"/>
  <c r="M160" i="5"/>
  <c r="DR160" i="5"/>
  <c r="I166" i="5"/>
  <c r="AW196" i="5"/>
  <c r="AJ87" i="5"/>
  <c r="AI87" i="5" s="1"/>
  <c r="BE87" i="5" s="1"/>
  <c r="BH96" i="5"/>
  <c r="M96" i="5"/>
  <c r="CA96" i="5" s="1"/>
  <c r="CW96" i="5" s="1"/>
  <c r="O198" i="5"/>
  <c r="O121" i="5"/>
  <c r="CS198" i="5"/>
  <c r="CS121" i="5"/>
  <c r="CS189" i="5" s="1"/>
  <c r="CB105" i="5"/>
  <c r="DE198" i="5"/>
  <c r="DO105" i="5"/>
  <c r="AI107" i="5"/>
  <c r="BE107" i="5" s="1"/>
  <c r="CB107" i="5"/>
  <c r="DO107" i="5"/>
  <c r="CX107" i="5" s="1"/>
  <c r="AG198" i="5"/>
  <c r="DR108" i="5"/>
  <c r="DR198" i="5" s="1"/>
  <c r="M108" i="5"/>
  <c r="CY117" i="5"/>
  <c r="CB117" i="5"/>
  <c r="CA122" i="5"/>
  <c r="CW122" i="5" s="1"/>
  <c r="H122" i="5"/>
  <c r="DJ187" i="5"/>
  <c r="DK191" i="5"/>
  <c r="BM191" i="5"/>
  <c r="AI129" i="5"/>
  <c r="BE129" i="5" s="1"/>
  <c r="BX187" i="5"/>
  <c r="BX191" i="5"/>
  <c r="H137" i="5"/>
  <c r="I137" i="5" s="1"/>
  <c r="CA137" i="5"/>
  <c r="CW137" i="5" s="1"/>
  <c r="CA139" i="5"/>
  <c r="CW139" i="5" s="1"/>
  <c r="H139" i="5"/>
  <c r="I139" i="5" s="1"/>
  <c r="BJ145" i="5"/>
  <c r="DB145" i="5"/>
  <c r="CX145" i="5" s="1"/>
  <c r="BF170" i="5"/>
  <c r="BF186" i="5"/>
  <c r="BA198" i="5"/>
  <c r="BA121" i="5"/>
  <c r="BA189" i="5" s="1"/>
  <c r="AJ105" i="5"/>
  <c r="DG198" i="5"/>
  <c r="DG121" i="5"/>
  <c r="DP198" i="5"/>
  <c r="I116" i="5"/>
  <c r="CA116" i="5"/>
  <c r="CW116" i="5" s="1"/>
  <c r="CX119" i="5"/>
  <c r="BS191" i="5"/>
  <c r="DL191" i="5"/>
  <c r="BY191" i="5"/>
  <c r="I142" i="5"/>
  <c r="BT192" i="5"/>
  <c r="CX144" i="5"/>
  <c r="DD169" i="5"/>
  <c r="CX169" i="5" s="1"/>
  <c r="I183" i="5"/>
  <c r="CA183" i="5"/>
  <c r="CW183" i="5" s="1"/>
  <c r="AC194" i="5"/>
  <c r="BY194" i="5"/>
  <c r="AM200" i="5"/>
  <c r="S196" i="5"/>
  <c r="DD69" i="5"/>
  <c r="CX69" i="5" s="1"/>
  <c r="AQ196" i="5"/>
  <c r="AQ103" i="5"/>
  <c r="DR86" i="5"/>
  <c r="CX86" i="5" s="1"/>
  <c r="AJ93" i="5"/>
  <c r="AI93" i="5" s="1"/>
  <c r="BE93" i="5" s="1"/>
  <c r="BL93" i="5"/>
  <c r="BF93" i="5" s="1"/>
  <c r="BF99" i="5"/>
  <c r="BF101" i="5"/>
  <c r="BS198" i="5"/>
  <c r="BS121" i="5"/>
  <c r="BO121" i="5"/>
  <c r="CX110" i="5"/>
  <c r="CA112" i="5"/>
  <c r="CW112" i="5" s="1"/>
  <c r="AA198" i="5"/>
  <c r="AA121" i="5"/>
  <c r="H119" i="5"/>
  <c r="I119" i="5" s="1"/>
  <c r="CA119" i="5"/>
  <c r="CW119" i="5" s="1"/>
  <c r="BH187" i="5"/>
  <c r="BS187" i="5"/>
  <c r="DL187" i="5"/>
  <c r="BT191" i="5"/>
  <c r="AO187" i="5"/>
  <c r="AO189" i="5" s="1"/>
  <c r="AO200" i="5" s="1"/>
  <c r="AJ127" i="5"/>
  <c r="AI127" i="5" s="1"/>
  <c r="BE127" i="5" s="1"/>
  <c r="DI191" i="5"/>
  <c r="DI197" i="5" s="1"/>
  <c r="DI199" i="5" s="1"/>
  <c r="DI187" i="5"/>
  <c r="H133" i="5"/>
  <c r="I133" i="5" s="1"/>
  <c r="CA133" i="5"/>
  <c r="CW133" i="5" s="1"/>
  <c r="AV192" i="5"/>
  <c r="AV197" i="5" s="1"/>
  <c r="AV199" i="5" s="1"/>
  <c r="AV187" i="5"/>
  <c r="AV189" i="5" s="1"/>
  <c r="BR145" i="5"/>
  <c r="BR187" i="5" s="1"/>
  <c r="BF148" i="5"/>
  <c r="CA148" i="5"/>
  <c r="CW148" i="5" s="1"/>
  <c r="T192" i="5"/>
  <c r="T197" i="5" s="1"/>
  <c r="T199" i="5" s="1"/>
  <c r="DB159" i="5"/>
  <c r="CX159" i="5" s="1"/>
  <c r="M159" i="5"/>
  <c r="I159" i="5" s="1"/>
  <c r="AI174" i="5"/>
  <c r="BE174" i="5" s="1"/>
  <c r="DH198" i="5"/>
  <c r="AK198" i="5"/>
  <c r="DM112" i="5"/>
  <c r="DM121" i="5" s="1"/>
  <c r="CP198" i="5"/>
  <c r="CB114" i="5"/>
  <c r="CP121" i="5"/>
  <c r="CQ121" i="5"/>
  <c r="BF122" i="5"/>
  <c r="DD122" i="5"/>
  <c r="CH187" i="5"/>
  <c r="BU191" i="5"/>
  <c r="AI125" i="5"/>
  <c r="BE125" i="5" s="1"/>
  <c r="AI128" i="5"/>
  <c r="BE128" i="5" s="1"/>
  <c r="CA131" i="5"/>
  <c r="CW131" i="5" s="1"/>
  <c r="AI135" i="5"/>
  <c r="BE135" i="5" s="1"/>
  <c r="Q192" i="5"/>
  <c r="BJ144" i="5"/>
  <c r="M144" i="5"/>
  <c r="BU192" i="5"/>
  <c r="DC192" i="5"/>
  <c r="DM192" i="5"/>
  <c r="AJ145" i="5"/>
  <c r="AI145" i="5" s="1"/>
  <c r="BE145" i="5" s="1"/>
  <c r="AI148" i="5"/>
  <c r="BE148" i="5" s="1"/>
  <c r="O192" i="5"/>
  <c r="O197" i="5" s="1"/>
  <c r="O199" i="5" s="1"/>
  <c r="O187" i="5"/>
  <c r="M155" i="5"/>
  <c r="CX158" i="5"/>
  <c r="CA181" i="5"/>
  <c r="CW181" i="5" s="1"/>
  <c r="H181" i="5"/>
  <c r="I181" i="5" s="1"/>
  <c r="CX186" i="5"/>
  <c r="BF119" i="5"/>
  <c r="BK195" i="5"/>
  <c r="BP191" i="5"/>
  <c r="CA128" i="5"/>
  <c r="CW128" i="5" s="1"/>
  <c r="H128" i="5"/>
  <c r="I130" i="5"/>
  <c r="CA135" i="5"/>
  <c r="CW135" i="5" s="1"/>
  <c r="BD191" i="5"/>
  <c r="AJ142" i="5"/>
  <c r="AI142" i="5" s="1"/>
  <c r="BE142" i="5" s="1"/>
  <c r="BD187" i="5"/>
  <c r="BP192" i="5"/>
  <c r="CA147" i="5"/>
  <c r="CW147" i="5" s="1"/>
  <c r="I150" i="5"/>
  <c r="CX152" i="5"/>
  <c r="AI153" i="5"/>
  <c r="BE153" i="5" s="1"/>
  <c r="DA192" i="5"/>
  <c r="DA187" i="5"/>
  <c r="AI158" i="5"/>
  <c r="BE158" i="5" s="1"/>
  <c r="AI159" i="5"/>
  <c r="BE159" i="5" s="1"/>
  <c r="CA162" i="5"/>
  <c r="CW162" i="5" s="1"/>
  <c r="CX179" i="5"/>
  <c r="I186" i="5"/>
  <c r="CA186" i="5"/>
  <c r="CW186" i="5" s="1"/>
  <c r="BL198" i="5"/>
  <c r="DB121" i="5"/>
  <c r="CA106" i="5"/>
  <c r="CW106" i="5" s="1"/>
  <c r="CC198" i="5"/>
  <c r="CB111" i="5"/>
  <c r="DL114" i="5"/>
  <c r="DL198" i="5" s="1"/>
  <c r="CX120" i="5"/>
  <c r="DH121" i="5"/>
  <c r="DO187" i="5"/>
  <c r="BQ191" i="5"/>
  <c r="CA124" i="5"/>
  <c r="CW124" i="5" s="1"/>
  <c r="BJ129" i="5"/>
  <c r="BF129" i="5" s="1"/>
  <c r="M129" i="5"/>
  <c r="DB129" i="5"/>
  <c r="CX129" i="5" s="1"/>
  <c r="AI130" i="5"/>
  <c r="BE130" i="5" s="1"/>
  <c r="BJ131" i="5"/>
  <c r="BF131" i="5" s="1"/>
  <c r="M131" i="5"/>
  <c r="I131" i="5" s="1"/>
  <c r="AI133" i="5"/>
  <c r="BE133" i="5" s="1"/>
  <c r="BF134" i="5"/>
  <c r="BF137" i="5"/>
  <c r="DH192" i="5"/>
  <c r="H147" i="5"/>
  <c r="CX148" i="5"/>
  <c r="CX149" i="5"/>
  <c r="I152" i="5"/>
  <c r="AI166" i="5"/>
  <c r="BE166" i="5" s="1"/>
  <c r="DQ195" i="5"/>
  <c r="H170" i="5"/>
  <c r="AI180" i="5"/>
  <c r="BE180" i="5" s="1"/>
  <c r="DB198" i="5"/>
  <c r="DG196" i="5"/>
  <c r="AP196" i="5"/>
  <c r="CQ196" i="5"/>
  <c r="CQ103" i="5"/>
  <c r="BM198" i="5"/>
  <c r="CV198" i="5"/>
  <c r="BT120" i="5"/>
  <c r="BF120" i="5" s="1"/>
  <c r="AJ120" i="5"/>
  <c r="AI120" i="5" s="1"/>
  <c r="BE120" i="5" s="1"/>
  <c r="BO187" i="5"/>
  <c r="BW187" i="5"/>
  <c r="DG187" i="5"/>
  <c r="DP187" i="5"/>
  <c r="DJ191" i="5"/>
  <c r="DB126" i="5"/>
  <c r="CX126" i="5" s="1"/>
  <c r="M126" i="5"/>
  <c r="M127" i="5"/>
  <c r="CF187" i="5"/>
  <c r="CF191" i="5"/>
  <c r="CX128" i="5"/>
  <c r="CA134" i="5"/>
  <c r="CW134" i="5" s="1"/>
  <c r="H134" i="5"/>
  <c r="I134" i="5" s="1"/>
  <c r="H135" i="5"/>
  <c r="I135" i="5" s="1"/>
  <c r="DB139" i="5"/>
  <c r="CX139" i="5" s="1"/>
  <c r="BJ140" i="5"/>
  <c r="BF140" i="5" s="1"/>
  <c r="BZ142" i="5"/>
  <c r="BF142" i="5" s="1"/>
  <c r="CF192" i="5"/>
  <c r="CB144" i="5"/>
  <c r="DJ192" i="5"/>
  <c r="DB147" i="5"/>
  <c r="CX147" i="5" s="1"/>
  <c r="AG192" i="5"/>
  <c r="AG197" i="5" s="1"/>
  <c r="AG199" i="5" s="1"/>
  <c r="DR152" i="5"/>
  <c r="BZ152" i="5"/>
  <c r="BF152" i="5" s="1"/>
  <c r="BF153" i="5"/>
  <c r="BF158" i="5"/>
  <c r="CA159" i="5"/>
  <c r="CW159" i="5" s="1"/>
  <c r="BJ160" i="5"/>
  <c r="DB160" i="5"/>
  <c r="I161" i="5"/>
  <c r="H162" i="5"/>
  <c r="I162" i="5" s="1"/>
  <c r="AJ164" i="5"/>
  <c r="AI164" i="5" s="1"/>
  <c r="BE164" i="5" s="1"/>
  <c r="BZ164" i="5"/>
  <c r="BF164" i="5" s="1"/>
  <c r="BF176" i="5"/>
  <c r="CA180" i="5"/>
  <c r="CW180" i="5" s="1"/>
  <c r="H180" i="5"/>
  <c r="I180" i="5" s="1"/>
  <c r="CK197" i="5"/>
  <c r="CK199" i="5" s="1"/>
  <c r="DK187" i="5"/>
  <c r="DM191" i="5"/>
  <c r="DK192" i="5"/>
  <c r="DB151" i="5"/>
  <c r="CX151" i="5" s="1"/>
  <c r="CB160" i="5"/>
  <c r="CA166" i="5"/>
  <c r="CW166" i="5" s="1"/>
  <c r="BJ168" i="5"/>
  <c r="BF168" i="5" s="1"/>
  <c r="DB168" i="5"/>
  <c r="CX168" i="5" s="1"/>
  <c r="M168" i="5"/>
  <c r="CA182" i="5"/>
  <c r="CW182" i="5" s="1"/>
  <c r="H182" i="5"/>
  <c r="I182" i="5" s="1"/>
  <c r="CJ197" i="5"/>
  <c r="CJ199" i="5" s="1"/>
  <c r="BR198" i="5"/>
  <c r="DD198" i="5"/>
  <c r="BO198" i="5"/>
  <c r="BR121" i="5"/>
  <c r="BP187" i="5"/>
  <c r="AJ123" i="5"/>
  <c r="AI123" i="5" s="1"/>
  <c r="BE123" i="5" s="1"/>
  <c r="DP191" i="5"/>
  <c r="BG192" i="5"/>
  <c r="BQ192" i="5"/>
  <c r="DN192" i="5"/>
  <c r="DE154" i="5"/>
  <c r="DE192" i="5" s="1"/>
  <c r="BM160" i="5"/>
  <c r="AJ162" i="5"/>
  <c r="AI162" i="5" s="1"/>
  <c r="BE162" i="5" s="1"/>
  <c r="CR192" i="5"/>
  <c r="CR187" i="5"/>
  <c r="BM163" i="5"/>
  <c r="BF163" i="5" s="1"/>
  <c r="CA167" i="5"/>
  <c r="CW167" i="5" s="1"/>
  <c r="I171" i="5"/>
  <c r="BJ174" i="5"/>
  <c r="BF174" i="5" s="1"/>
  <c r="M174" i="5"/>
  <c r="I174" i="5" s="1"/>
  <c r="CX181" i="5"/>
  <c r="AG187" i="5"/>
  <c r="AK197" i="5"/>
  <c r="BG187" i="5"/>
  <c r="BQ187" i="5"/>
  <c r="BH191" i="5"/>
  <c r="BR191" i="5"/>
  <c r="DH191" i="5"/>
  <c r="AN191" i="5"/>
  <c r="AN187" i="5"/>
  <c r="M136" i="5"/>
  <c r="CV187" i="5"/>
  <c r="DR142" i="5"/>
  <c r="DR191" i="5" s="1"/>
  <c r="DO192" i="5"/>
  <c r="M147" i="5"/>
  <c r="M151" i="5"/>
  <c r="I151" i="5" s="1"/>
  <c r="BL162" i="5"/>
  <c r="BL192" i="5" s="1"/>
  <c r="BJ172" i="5"/>
  <c r="BF172" i="5" s="1"/>
  <c r="M172" i="5"/>
  <c r="I172" i="5" s="1"/>
  <c r="DB173" i="5"/>
  <c r="CX173" i="5" s="1"/>
  <c r="BJ173" i="5"/>
  <c r="BF173" i="5" s="1"/>
  <c r="M173" i="5"/>
  <c r="DD183" i="5"/>
  <c r="CX183" i="5" s="1"/>
  <c r="BL183" i="5"/>
  <c r="BF183" i="5" s="1"/>
  <c r="DR185" i="5"/>
  <c r="CX185" i="5"/>
  <c r="AI186" i="5"/>
  <c r="BE186" i="5" s="1"/>
  <c r="CV191" i="5"/>
  <c r="BS192" i="5"/>
  <c r="DG192" i="5"/>
  <c r="DP192" i="5"/>
  <c r="AN192" i="5"/>
  <c r="CN187" i="5"/>
  <c r="CN189" i="5" s="1"/>
  <c r="CN192" i="5"/>
  <c r="CN197" i="5" s="1"/>
  <c r="CN199" i="5" s="1"/>
  <c r="BD192" i="5"/>
  <c r="BJ176" i="5"/>
  <c r="M176" i="5"/>
  <c r="AI183" i="5"/>
  <c r="BE183" i="5" s="1"/>
  <c r="AI185" i="5"/>
  <c r="BE185" i="5" s="1"/>
  <c r="DQ187" i="5"/>
  <c r="DQ189" i="5" s="1"/>
  <c r="AA197" i="5"/>
  <c r="AA199" i="5" s="1"/>
  <c r="DB170" i="5"/>
  <c r="CX170" i="5" s="1"/>
  <c r="BV184" i="5"/>
  <c r="BF184" i="5" s="1"/>
  <c r="U197" i="5"/>
  <c r="U199" i="5" s="1"/>
  <c r="U200" i="5" s="1"/>
  <c r="AC197" i="5"/>
  <c r="AC199" i="5" s="1"/>
  <c r="M169" i="5"/>
  <c r="M170" i="5"/>
  <c r="I170" i="5" s="1"/>
  <c r="X197" i="5"/>
  <c r="X199" i="5" s="1"/>
  <c r="X200" i="5" s="1"/>
  <c r="AF197" i="5"/>
  <c r="AF199" i="5" s="1"/>
  <c r="AF200" i="5" s="1"/>
  <c r="CC197" i="5"/>
  <c r="CS197" i="5"/>
  <c r="AR197" i="5"/>
  <c r="AR199" i="5" s="1"/>
  <c r="BI197" i="5"/>
  <c r="BI199" i="5" s="1"/>
  <c r="AS197" i="5"/>
  <c r="AS199" i="5" s="1"/>
  <c r="AS200" i="5" s="1"/>
  <c r="CE197" i="5"/>
  <c r="CE199" i="5" s="1"/>
  <c r="CM197" i="5"/>
  <c r="CM199" i="5" s="1"/>
  <c r="CM200" i="5" s="1"/>
  <c r="CX181" i="4"/>
  <c r="BT187" i="4"/>
  <c r="BT191" i="4"/>
  <c r="BF147" i="4"/>
  <c r="BG192" i="4"/>
  <c r="DP187" i="4"/>
  <c r="DP192" i="4"/>
  <c r="BU187" i="4"/>
  <c r="BU191" i="4"/>
  <c r="BP187" i="4"/>
  <c r="AR197" i="4"/>
  <c r="AR199" i="4" s="1"/>
  <c r="AR200" i="4" s="1"/>
  <c r="DE192" i="4"/>
  <c r="BF141" i="4"/>
  <c r="CU197" i="4"/>
  <c r="CU199" i="4" s="1"/>
  <c r="CU200" i="4" s="1"/>
  <c r="CE197" i="4"/>
  <c r="CE199" i="4" s="1"/>
  <c r="CE200" i="4" s="1"/>
  <c r="AE197" i="4"/>
  <c r="AE199" i="4" s="1"/>
  <c r="AE200" i="4" s="1"/>
  <c r="BZ164" i="4"/>
  <c r="BF164" i="4" s="1"/>
  <c r="DR164" i="4"/>
  <c r="CX164" i="4" s="1"/>
  <c r="M164" i="4"/>
  <c r="BJ160" i="4"/>
  <c r="M160" i="4"/>
  <c r="DB160" i="4"/>
  <c r="CX160" i="4" s="1"/>
  <c r="DE121" i="4"/>
  <c r="DE198" i="4"/>
  <c r="BF150" i="4"/>
  <c r="CX183" i="4"/>
  <c r="CX161" i="4"/>
  <c r="DO192" i="4"/>
  <c r="BF5" i="4"/>
  <c r="CA22" i="4"/>
  <c r="CW22" i="4" s="1"/>
  <c r="H22" i="4"/>
  <c r="I22" i="4" s="1"/>
  <c r="H8" i="4"/>
  <c r="CA8" i="4"/>
  <c r="CW8" i="4" s="1"/>
  <c r="AJ185" i="4"/>
  <c r="AI185" i="4" s="1"/>
  <c r="BE185" i="4" s="1"/>
  <c r="BD193" i="4"/>
  <c r="BF165" i="4"/>
  <c r="BF152" i="4"/>
  <c r="CI103" i="4"/>
  <c r="CI189" i="4" s="1"/>
  <c r="CB78" i="4"/>
  <c r="CI196" i="4"/>
  <c r="DH197" i="4"/>
  <c r="DH199" i="4" s="1"/>
  <c r="DH187" i="4"/>
  <c r="CX165" i="4"/>
  <c r="CA125" i="4"/>
  <c r="CW125" i="4" s="1"/>
  <c r="H125" i="4"/>
  <c r="I88" i="4"/>
  <c r="CA88" i="4"/>
  <c r="CW88" i="4" s="1"/>
  <c r="DK191" i="4"/>
  <c r="CX184" i="4"/>
  <c r="CX179" i="4"/>
  <c r="I173" i="4"/>
  <c r="CA173" i="4"/>
  <c r="CW173" i="4" s="1"/>
  <c r="AI173" i="4"/>
  <c r="BE173" i="4" s="1"/>
  <c r="BK195" i="4"/>
  <c r="BL170" i="4"/>
  <c r="S187" i="4"/>
  <c r="M170" i="4"/>
  <c r="CA170" i="4" s="1"/>
  <c r="CW170" i="4" s="1"/>
  <c r="CX151" i="4"/>
  <c r="DJ192" i="4"/>
  <c r="DN191" i="4"/>
  <c r="BQ187" i="4"/>
  <c r="BQ191" i="4"/>
  <c r="BQ197" i="4" s="1"/>
  <c r="BQ199" i="4" s="1"/>
  <c r="BG187" i="4"/>
  <c r="DO187" i="4"/>
  <c r="DO195" i="4"/>
  <c r="DE195" i="4"/>
  <c r="DE187" i="4"/>
  <c r="BW187" i="4"/>
  <c r="BO187" i="4"/>
  <c r="DN117" i="4"/>
  <c r="DN121" i="4" s="1"/>
  <c r="CB117" i="4"/>
  <c r="CR121" i="4"/>
  <c r="BF107" i="4"/>
  <c r="BJ198" i="4"/>
  <c r="CX79" i="4"/>
  <c r="BF74" i="4"/>
  <c r="AJ70" i="4"/>
  <c r="AI70" i="4" s="1"/>
  <c r="BE70" i="4" s="1"/>
  <c r="BL70" i="4"/>
  <c r="AP103" i="4"/>
  <c r="AP196" i="4"/>
  <c r="DG103" i="4"/>
  <c r="DG196" i="4"/>
  <c r="BR195" i="4"/>
  <c r="H15" i="4"/>
  <c r="I15" i="4" s="1"/>
  <c r="CA15" i="4"/>
  <c r="CW15" i="4" s="1"/>
  <c r="BQ34" i="4"/>
  <c r="BQ195" i="4"/>
  <c r="BF4" i="4"/>
  <c r="BP196" i="4"/>
  <c r="BP197" i="4" s="1"/>
  <c r="BP199" i="4" s="1"/>
  <c r="BG196" i="4"/>
  <c r="BO195" i="4"/>
  <c r="BO197" i="4" s="1"/>
  <c r="BO199" i="4" s="1"/>
  <c r="DC193" i="4"/>
  <c r="DI191" i="4"/>
  <c r="DI197" i="4" s="1"/>
  <c r="DI199" i="4" s="1"/>
  <c r="DI200" i="4" s="1"/>
  <c r="CN197" i="4"/>
  <c r="CN199" i="4" s="1"/>
  <c r="CN200" i="4" s="1"/>
  <c r="BD187" i="4"/>
  <c r="BF181" i="4"/>
  <c r="DD170" i="4"/>
  <c r="CX162" i="4"/>
  <c r="CX148" i="4"/>
  <c r="BK192" i="4"/>
  <c r="DQ187" i="4"/>
  <c r="DQ189" i="4" s="1"/>
  <c r="BQ192" i="4"/>
  <c r="DG191" i="4"/>
  <c r="AJ134" i="4"/>
  <c r="AI134" i="4" s="1"/>
  <c r="BE134" i="4" s="1"/>
  <c r="BJ134" i="4"/>
  <c r="BF134" i="4" s="1"/>
  <c r="H129" i="4"/>
  <c r="BK127" i="4"/>
  <c r="BK187" i="4" s="1"/>
  <c r="BK189" i="4" s="1"/>
  <c r="R187" i="4"/>
  <c r="R189" i="4" s="1"/>
  <c r="R200" i="4" s="1"/>
  <c r="DC127" i="4"/>
  <c r="DC191" i="4" s="1"/>
  <c r="M127" i="4"/>
  <c r="DL187" i="4"/>
  <c r="CX126" i="4"/>
  <c r="I125" i="4"/>
  <c r="BF124" i="4"/>
  <c r="AB189" i="4"/>
  <c r="AB200" i="4" s="1"/>
  <c r="BF101" i="4"/>
  <c r="M98" i="4"/>
  <c r="BH98" i="4"/>
  <c r="BF98" i="4" s="1"/>
  <c r="CZ98" i="4"/>
  <c r="CX98" i="4" s="1"/>
  <c r="DN196" i="4"/>
  <c r="DJ196" i="4"/>
  <c r="BF71" i="4"/>
  <c r="DL103" i="4"/>
  <c r="BF69" i="4"/>
  <c r="Z189" i="4"/>
  <c r="Z200" i="4" s="1"/>
  <c r="CA59" i="4"/>
  <c r="CW59" i="4" s="1"/>
  <c r="I56" i="4"/>
  <c r="CA56" i="4"/>
  <c r="CW56" i="4" s="1"/>
  <c r="BR67" i="4"/>
  <c r="BR194" i="4"/>
  <c r="AW197" i="4"/>
  <c r="AW199" i="4" s="1"/>
  <c r="AW200" i="4" s="1"/>
  <c r="H169" i="4"/>
  <c r="I169" i="4" s="1"/>
  <c r="CA169" i="4"/>
  <c r="CW169" i="4" s="1"/>
  <c r="DR163" i="4"/>
  <c r="CX163" i="4" s="1"/>
  <c r="BZ163" i="4"/>
  <c r="O187" i="4"/>
  <c r="BH158" i="4"/>
  <c r="BH192" i="4" s="1"/>
  <c r="BV191" i="4"/>
  <c r="AG187" i="4"/>
  <c r="CB184" i="4"/>
  <c r="CR187" i="4"/>
  <c r="H177" i="4"/>
  <c r="I177" i="4" s="1"/>
  <c r="CX176" i="4"/>
  <c r="BF169" i="4"/>
  <c r="BM163" i="4"/>
  <c r="DE163" i="4"/>
  <c r="M163" i="4"/>
  <c r="AI163" i="4" s="1"/>
  <c r="BE163" i="4" s="1"/>
  <c r="I161" i="4"/>
  <c r="M158" i="4"/>
  <c r="H142" i="4"/>
  <c r="BS191" i="4"/>
  <c r="H118" i="4"/>
  <c r="I118" i="4" s="1"/>
  <c r="CA118" i="4"/>
  <c r="CW118" i="4" s="1"/>
  <c r="BM121" i="4"/>
  <c r="BM198" i="4"/>
  <c r="AA189" i="4"/>
  <c r="AA200" i="4" s="1"/>
  <c r="CZ88" i="4"/>
  <c r="CX88" i="4" s="1"/>
  <c r="DM103" i="4"/>
  <c r="DM196" i="4"/>
  <c r="DD70" i="4"/>
  <c r="CX70" i="4" s="1"/>
  <c r="CB70" i="4"/>
  <c r="CH103" i="4"/>
  <c r="CH196" i="4"/>
  <c r="DN195" i="4"/>
  <c r="DJ195" i="4"/>
  <c r="CX30" i="4"/>
  <c r="CY195" i="4"/>
  <c r="BF8" i="4"/>
  <c r="AX34" i="4"/>
  <c r="BT7" i="4"/>
  <c r="BF7" i="4" s="1"/>
  <c r="AJ7" i="4"/>
  <c r="AI7" i="4" s="1"/>
  <c r="BE7" i="4" s="1"/>
  <c r="AX195" i="4"/>
  <c r="AX197" i="4" s="1"/>
  <c r="BF6" i="4"/>
  <c r="DM34" i="4"/>
  <c r="BW194" i="4"/>
  <c r="BW197" i="4" s="1"/>
  <c r="BW199" i="4" s="1"/>
  <c r="AN192" i="4"/>
  <c r="CS197" i="4"/>
  <c r="CC197" i="4"/>
  <c r="BS187" i="4"/>
  <c r="CQ187" i="4"/>
  <c r="DM182" i="4"/>
  <c r="CX182" i="4" s="1"/>
  <c r="CB182" i="4"/>
  <c r="CQ195" i="4"/>
  <c r="DB174" i="4"/>
  <c r="CX174" i="4" s="1"/>
  <c r="M174" i="4"/>
  <c r="BJ174" i="4"/>
  <c r="BF174" i="4" s="1"/>
  <c r="Q195" i="4"/>
  <c r="BF170" i="4"/>
  <c r="H164" i="4"/>
  <c r="CA164" i="4"/>
  <c r="CW164" i="4" s="1"/>
  <c r="BJ159" i="4"/>
  <c r="BF159" i="4" s="1"/>
  <c r="M159" i="4"/>
  <c r="BM155" i="4"/>
  <c r="DB153" i="4"/>
  <c r="CX153" i="4" s="1"/>
  <c r="BJ153" i="4"/>
  <c r="BF153" i="4" s="1"/>
  <c r="Q192" i="4"/>
  <c r="CA143" i="4"/>
  <c r="CW143" i="4" s="1"/>
  <c r="I143" i="4"/>
  <c r="CX141" i="4"/>
  <c r="M139" i="4"/>
  <c r="BJ139" i="4"/>
  <c r="BF139" i="4" s="1"/>
  <c r="DB139" i="4"/>
  <c r="CX139" i="4" s="1"/>
  <c r="Q187" i="4"/>
  <c r="Q189" i="4" s="1"/>
  <c r="CX137" i="4"/>
  <c r="AI136" i="4"/>
  <c r="BE136" i="4" s="1"/>
  <c r="CB123" i="4"/>
  <c r="CH195" i="4"/>
  <c r="DD123" i="4"/>
  <c r="BS195" i="4"/>
  <c r="P189" i="4"/>
  <c r="P200" i="4" s="1"/>
  <c r="AI109" i="4"/>
  <c r="BE109" i="4" s="1"/>
  <c r="AI69" i="4"/>
  <c r="BE69" i="4" s="1"/>
  <c r="CB48" i="4"/>
  <c r="CQ67" i="4"/>
  <c r="CQ194" i="4"/>
  <c r="DM192" i="4"/>
  <c r="DE191" i="4"/>
  <c r="BF125" i="4"/>
  <c r="DG187" i="4"/>
  <c r="DG195" i="4"/>
  <c r="AJ119" i="4"/>
  <c r="AI119" i="4" s="1"/>
  <c r="BE119" i="4" s="1"/>
  <c r="BU119" i="4"/>
  <c r="BU198" i="4" s="1"/>
  <c r="BF109" i="4"/>
  <c r="M105" i="4"/>
  <c r="BH105" i="4"/>
  <c r="CZ105" i="4"/>
  <c r="O121" i="4"/>
  <c r="BH88" i="4"/>
  <c r="O103" i="4"/>
  <c r="H87" i="4"/>
  <c r="BO103" i="4"/>
  <c r="BF75" i="4"/>
  <c r="BN200" i="4"/>
  <c r="DO67" i="4"/>
  <c r="DO194" i="4"/>
  <c r="S195" i="4"/>
  <c r="S197" i="4" s="1"/>
  <c r="S199" i="4" s="1"/>
  <c r="AJ177" i="4"/>
  <c r="AI177" i="4" s="1"/>
  <c r="BE177" i="4" s="1"/>
  <c r="BL177" i="4"/>
  <c r="BF177" i="4" s="1"/>
  <c r="CX152" i="4"/>
  <c r="CX147" i="4"/>
  <c r="BF136" i="4"/>
  <c r="BR121" i="4"/>
  <c r="BR198" i="4"/>
  <c r="BW103" i="4"/>
  <c r="BU100" i="4"/>
  <c r="BF100" i="4" s="1"/>
  <c r="AY103" i="4"/>
  <c r="CX99" i="4"/>
  <c r="DQ197" i="4"/>
  <c r="DQ199" i="4" s="1"/>
  <c r="BM191" i="4"/>
  <c r="W200" i="4"/>
  <c r="DB193" i="4"/>
  <c r="BF182" i="4"/>
  <c r="BY195" i="4"/>
  <c r="CZ158" i="4"/>
  <c r="BJ154" i="4"/>
  <c r="BF154" i="4" s="1"/>
  <c r="M153" i="4"/>
  <c r="BF151" i="4"/>
  <c r="CA150" i="4"/>
  <c r="CW150" i="4" s="1"/>
  <c r="H145" i="4"/>
  <c r="H141" i="4"/>
  <c r="I141" i="4" s="1"/>
  <c r="CA141" i="4"/>
  <c r="CW141" i="4" s="1"/>
  <c r="CX128" i="4"/>
  <c r="DB127" i="4"/>
  <c r="CB127" i="4"/>
  <c r="CF187" i="4"/>
  <c r="DJ187" i="4"/>
  <c r="DP121" i="4"/>
  <c r="DG198" i="4"/>
  <c r="BF114" i="4"/>
  <c r="BP198" i="4"/>
  <c r="CA109" i="4"/>
  <c r="CW109" i="4" s="1"/>
  <c r="I109" i="4"/>
  <c r="DH103" i="4"/>
  <c r="DB196" i="4"/>
  <c r="AJ83" i="4"/>
  <c r="AI83" i="4" s="1"/>
  <c r="BE83" i="4" s="1"/>
  <c r="BM83" i="4"/>
  <c r="AQ103" i="4"/>
  <c r="DO103" i="4"/>
  <c r="DO196" i="4"/>
  <c r="CX57" i="4"/>
  <c r="DJ194" i="4"/>
  <c r="BS192" i="4"/>
  <c r="DO191" i="4"/>
  <c r="DP196" i="4"/>
  <c r="DC195" i="4"/>
  <c r="DA197" i="4"/>
  <c r="DA199" i="4" s="1"/>
  <c r="DA200" i="4" s="1"/>
  <c r="BX197" i="4"/>
  <c r="BX199" i="4" s="1"/>
  <c r="CX186" i="4"/>
  <c r="AP187" i="4"/>
  <c r="AJ175" i="4"/>
  <c r="AI175" i="4" s="1"/>
  <c r="BE175" i="4" s="1"/>
  <c r="AP195" i="4"/>
  <c r="AI169" i="4"/>
  <c r="BE169" i="4" s="1"/>
  <c r="BZ156" i="4"/>
  <c r="M156" i="4"/>
  <c r="DR156" i="4"/>
  <c r="CX156" i="4" s="1"/>
  <c r="AG192" i="4"/>
  <c r="AG197" i="4" s="1"/>
  <c r="AG199" i="4" s="1"/>
  <c r="CX155" i="4"/>
  <c r="H154" i="4"/>
  <c r="BY192" i="4"/>
  <c r="AI149" i="4"/>
  <c r="BE149" i="4" s="1"/>
  <c r="BF146" i="4"/>
  <c r="DG192" i="4"/>
  <c r="DN192" i="4"/>
  <c r="BY187" i="4"/>
  <c r="BY191" i="4"/>
  <c r="CX124" i="4"/>
  <c r="DB198" i="4"/>
  <c r="CX110" i="4"/>
  <c r="CX94" i="4"/>
  <c r="AJ84" i="4"/>
  <c r="AI84" i="4" s="1"/>
  <c r="BE84" i="4" s="1"/>
  <c r="BM84" i="4"/>
  <c r="H77" i="4"/>
  <c r="CA77" i="4"/>
  <c r="CW77" i="4" s="1"/>
  <c r="AI186" i="4"/>
  <c r="BE186" i="4" s="1"/>
  <c r="BZ185" i="4"/>
  <c r="BV184" i="4"/>
  <c r="BV193" i="4" s="1"/>
  <c r="M184" i="4"/>
  <c r="CA183" i="4"/>
  <c r="CW183" i="4" s="1"/>
  <c r="I183" i="4"/>
  <c r="AJ180" i="4"/>
  <c r="AI180" i="4" s="1"/>
  <c r="BE180" i="4" s="1"/>
  <c r="BL180" i="4"/>
  <c r="BF180" i="4" s="1"/>
  <c r="I179" i="4"/>
  <c r="M176" i="4"/>
  <c r="BJ176" i="4"/>
  <c r="H167" i="4"/>
  <c r="CA167" i="4"/>
  <c r="CW167" i="4" s="1"/>
  <c r="CB160" i="4"/>
  <c r="CA149" i="4"/>
  <c r="CW149" i="4" s="1"/>
  <c r="H149" i="4"/>
  <c r="I149" i="4" s="1"/>
  <c r="H148" i="4"/>
  <c r="CA148" i="4"/>
  <c r="CW148" i="4" s="1"/>
  <c r="BF148" i="4"/>
  <c r="DB144" i="4"/>
  <c r="M144" i="4"/>
  <c r="BJ144" i="4"/>
  <c r="AI143" i="4"/>
  <c r="BE143" i="4" s="1"/>
  <c r="BZ142" i="4"/>
  <c r="BZ191" i="4" s="1"/>
  <c r="M142" i="4"/>
  <c r="H140" i="4"/>
  <c r="I140" i="4" s="1"/>
  <c r="CA140" i="4"/>
  <c r="CW140" i="4" s="1"/>
  <c r="CX138" i="4"/>
  <c r="CX136" i="4"/>
  <c r="DK187" i="4"/>
  <c r="BF120" i="4"/>
  <c r="AI118" i="4"/>
  <c r="BE118" i="4" s="1"/>
  <c r="AY121" i="4"/>
  <c r="BS121" i="4"/>
  <c r="CX101" i="4"/>
  <c r="CX91" i="4"/>
  <c r="BF89" i="4"/>
  <c r="BF82" i="4"/>
  <c r="CZ78" i="4"/>
  <c r="M78" i="4"/>
  <c r="BH78" i="4"/>
  <c r="H16" i="4"/>
  <c r="I16" i="4" s="1"/>
  <c r="CA16" i="4"/>
  <c r="CW16" i="4" s="1"/>
  <c r="BF185" i="4"/>
  <c r="CA178" i="4"/>
  <c r="CW178" i="4" s="1"/>
  <c r="CX170" i="4"/>
  <c r="AJ160" i="4"/>
  <c r="AI160" i="4" s="1"/>
  <c r="BE160" i="4" s="1"/>
  <c r="CX146" i="4"/>
  <c r="CX135" i="4"/>
  <c r="H132" i="4"/>
  <c r="I132" i="4" s="1"/>
  <c r="DN187" i="4"/>
  <c r="BR187" i="4"/>
  <c r="DL116" i="4"/>
  <c r="AA121" i="4"/>
  <c r="BT116" i="4"/>
  <c r="BF116" i="4" s="1"/>
  <c r="M116" i="4"/>
  <c r="AI108" i="4"/>
  <c r="BE108" i="4" s="1"/>
  <c r="DO106" i="4"/>
  <c r="CS121" i="4"/>
  <c r="CS189" i="4" s="1"/>
  <c r="CB106" i="4"/>
  <c r="DH121" i="4"/>
  <c r="BL121" i="4"/>
  <c r="DE84" i="4"/>
  <c r="CB84" i="4"/>
  <c r="BR103" i="4"/>
  <c r="BF73" i="4"/>
  <c r="BY67" i="4"/>
  <c r="BF56" i="4"/>
  <c r="BG67" i="4"/>
  <c r="DR185" i="4"/>
  <c r="DR193" i="4" s="1"/>
  <c r="AI181" i="4"/>
  <c r="BE181" i="4" s="1"/>
  <c r="CX180" i="4"/>
  <c r="DB172" i="4"/>
  <c r="M172" i="4"/>
  <c r="BJ172" i="4"/>
  <c r="BJ195" i="4" s="1"/>
  <c r="CX169" i="4"/>
  <c r="I168" i="4"/>
  <c r="M167" i="4"/>
  <c r="DB166" i="4"/>
  <c r="CX166" i="4" s="1"/>
  <c r="M166" i="4"/>
  <c r="AI161" i="4"/>
  <c r="BE161" i="4" s="1"/>
  <c r="BM160" i="4"/>
  <c r="M155" i="4"/>
  <c r="AI155" i="4" s="1"/>
  <c r="BE155" i="4" s="1"/>
  <c r="AI150" i="4"/>
  <c r="BE150" i="4" s="1"/>
  <c r="DB145" i="4"/>
  <c r="CX145" i="4" s="1"/>
  <c r="DR142" i="4"/>
  <c r="CX142" i="4" s="1"/>
  <c r="AI141" i="4"/>
  <c r="BE141" i="4" s="1"/>
  <c r="BJ138" i="4"/>
  <c r="BF138" i="4" s="1"/>
  <c r="M138" i="4"/>
  <c r="BF137" i="4"/>
  <c r="CA130" i="4"/>
  <c r="CW130" i="4" s="1"/>
  <c r="M129" i="4"/>
  <c r="BJ129" i="4"/>
  <c r="DB129" i="4"/>
  <c r="CX129" i="4" s="1"/>
  <c r="Q191" i="4"/>
  <c r="Q197" i="4" s="1"/>
  <c r="Q199" i="4" s="1"/>
  <c r="CX123" i="4"/>
  <c r="AI123" i="4"/>
  <c r="BE123" i="4" s="1"/>
  <c r="CH187" i="4"/>
  <c r="DD122" i="4"/>
  <c r="CB122" i="4"/>
  <c r="AJ122" i="4"/>
  <c r="BL122" i="4"/>
  <c r="BC189" i="4"/>
  <c r="BC200" i="4" s="1"/>
  <c r="DM119" i="4"/>
  <c r="CX119" i="4" s="1"/>
  <c r="CB119" i="4"/>
  <c r="DG121" i="4"/>
  <c r="AU189" i="4"/>
  <c r="AU200" i="4" s="1"/>
  <c r="BF92" i="4"/>
  <c r="BM91" i="4"/>
  <c r="BF91" i="4" s="1"/>
  <c r="M91" i="4"/>
  <c r="I91" i="4" s="1"/>
  <c r="CX89" i="4"/>
  <c r="CB86" i="4"/>
  <c r="DR86" i="4"/>
  <c r="CX86" i="4" s="1"/>
  <c r="CZ84" i="4"/>
  <c r="BH84" i="4"/>
  <c r="DR73" i="4"/>
  <c r="CX73" i="4" s="1"/>
  <c r="CB73" i="4"/>
  <c r="DB103" i="4"/>
  <c r="BH60" i="4"/>
  <c r="BF60" i="4" s="1"/>
  <c r="CZ60" i="4"/>
  <c r="CX60" i="4" s="1"/>
  <c r="M60" i="4"/>
  <c r="H186" i="4"/>
  <c r="I186" i="4" s="1"/>
  <c r="CA186" i="4"/>
  <c r="CW186" i="4" s="1"/>
  <c r="BF179" i="4"/>
  <c r="AI178" i="4"/>
  <c r="BE178" i="4" s="1"/>
  <c r="CX177" i="4"/>
  <c r="BF176" i="4"/>
  <c r="H170" i="4"/>
  <c r="AI164" i="4"/>
  <c r="BE164" i="4" s="1"/>
  <c r="H157" i="4"/>
  <c r="I157" i="4" s="1"/>
  <c r="BF156" i="4"/>
  <c r="DB154" i="4"/>
  <c r="CX154" i="4" s="1"/>
  <c r="M154" i="4"/>
  <c r="I154" i="4" s="1"/>
  <c r="CA153" i="4"/>
  <c r="CW153" i="4" s="1"/>
  <c r="CA152" i="4"/>
  <c r="CW152" i="4" s="1"/>
  <c r="CX150" i="4"/>
  <c r="BJ149" i="4"/>
  <c r="BF149" i="4" s="1"/>
  <c r="I148" i="4"/>
  <c r="BF145" i="4"/>
  <c r="H139" i="4"/>
  <c r="BF130" i="4"/>
  <c r="CX125" i="4"/>
  <c r="BF117" i="4"/>
  <c r="DR115" i="4"/>
  <c r="CX115" i="4" s="1"/>
  <c r="M115" i="4"/>
  <c r="BZ115" i="4"/>
  <c r="BF115" i="4" s="1"/>
  <c r="AI98" i="4"/>
  <c r="BE98" i="4" s="1"/>
  <c r="CX93" i="4"/>
  <c r="DR85" i="4"/>
  <c r="M85" i="4"/>
  <c r="BF79" i="4"/>
  <c r="AD189" i="4"/>
  <c r="AD200" i="4" s="1"/>
  <c r="V189" i="4"/>
  <c r="V200" i="4" s="1"/>
  <c r="BL58" i="4"/>
  <c r="DD58" i="4"/>
  <c r="CX58" i="4" s="1"/>
  <c r="M58" i="4"/>
  <c r="BQ67" i="4"/>
  <c r="DG67" i="4"/>
  <c r="DG189" i="4" s="1"/>
  <c r="BJ168" i="4"/>
  <c r="BF168" i="4" s="1"/>
  <c r="DB149" i="4"/>
  <c r="CX149" i="4" s="1"/>
  <c r="BF132" i="4"/>
  <c r="H128" i="4"/>
  <c r="I128" i="4" s="1"/>
  <c r="CA128" i="4"/>
  <c r="CW128" i="4" s="1"/>
  <c r="I107" i="4"/>
  <c r="AI107" i="4"/>
  <c r="BE107" i="4" s="1"/>
  <c r="DJ121" i="4"/>
  <c r="H102" i="4"/>
  <c r="I102" i="4" s="1"/>
  <c r="CA102" i="4"/>
  <c r="CW102" i="4" s="1"/>
  <c r="Z103" i="4"/>
  <c r="M87" i="4"/>
  <c r="DK87" i="4"/>
  <c r="DK196" i="4" s="1"/>
  <c r="BS87" i="4"/>
  <c r="BS196" i="4" s="1"/>
  <c r="DN103" i="4"/>
  <c r="BV103" i="4"/>
  <c r="BZ66" i="4"/>
  <c r="BF66" i="4" s="1"/>
  <c r="BZ58" i="4"/>
  <c r="BF58" i="4" s="1"/>
  <c r="AG67" i="4"/>
  <c r="DR58" i="4"/>
  <c r="CB55" i="4"/>
  <c r="DK55" i="4"/>
  <c r="CX55" i="4" s="1"/>
  <c r="CO67" i="4"/>
  <c r="CO189" i="4" s="1"/>
  <c r="BW67" i="4"/>
  <c r="CX29" i="4"/>
  <c r="DB34" i="4"/>
  <c r="H181" i="4"/>
  <c r="I181" i="4" s="1"/>
  <c r="H178" i="4"/>
  <c r="I178" i="4" s="1"/>
  <c r="M136" i="4"/>
  <c r="BJ136" i="4"/>
  <c r="CX134" i="4"/>
  <c r="CX120" i="4"/>
  <c r="DM112" i="4"/>
  <c r="CX112" i="4" s="1"/>
  <c r="CB112" i="4"/>
  <c r="BF106" i="4"/>
  <c r="BW121" i="4"/>
  <c r="BJ121" i="4"/>
  <c r="CX95" i="4"/>
  <c r="BL95" i="4"/>
  <c r="BF95" i="4" s="1"/>
  <c r="S103" i="4"/>
  <c r="BF94" i="4"/>
  <c r="BJ90" i="4"/>
  <c r="AN103" i="4"/>
  <c r="AJ90" i="4"/>
  <c r="AI90" i="4" s="1"/>
  <c r="BE90" i="4" s="1"/>
  <c r="DR68" i="4"/>
  <c r="M68" i="4"/>
  <c r="BZ68" i="4"/>
  <c r="AG103" i="4"/>
  <c r="BT65" i="4"/>
  <c r="AX67" i="4"/>
  <c r="BT67" i="4"/>
  <c r="BF43" i="4"/>
  <c r="BL12" i="4"/>
  <c r="BF12" i="4" s="1"/>
  <c r="AJ12" i="4"/>
  <c r="AI12" i="4" s="1"/>
  <c r="BE12" i="4" s="1"/>
  <c r="BJ173" i="4"/>
  <c r="BF173" i="4" s="1"/>
  <c r="I171" i="4"/>
  <c r="DB168" i="4"/>
  <c r="CX168" i="4" s="1"/>
  <c r="M152" i="4"/>
  <c r="M145" i="4"/>
  <c r="BF140" i="4"/>
  <c r="I137" i="4"/>
  <c r="BJ135" i="4"/>
  <c r="BF135" i="4" s="1"/>
  <c r="M135" i="4"/>
  <c r="CX133" i="4"/>
  <c r="I126" i="4"/>
  <c r="M124" i="4"/>
  <c r="BF119" i="4"/>
  <c r="BF118" i="4"/>
  <c r="AI113" i="4"/>
  <c r="BE113" i="4" s="1"/>
  <c r="BT110" i="4"/>
  <c r="AX121" i="4"/>
  <c r="DD100" i="4"/>
  <c r="CX100" i="4" s="1"/>
  <c r="AJ99" i="4"/>
  <c r="AI99" i="4" s="1"/>
  <c r="BE99" i="4" s="1"/>
  <c r="BL99" i="4"/>
  <c r="BF99" i="4" s="1"/>
  <c r="M95" i="4"/>
  <c r="BF93" i="4"/>
  <c r="CX85" i="4"/>
  <c r="I77" i="4"/>
  <c r="CX75" i="4"/>
  <c r="DJ103" i="4"/>
  <c r="BF70" i="4"/>
  <c r="M66" i="4"/>
  <c r="AJ65" i="4"/>
  <c r="AI65" i="4" s="1"/>
  <c r="BE65" i="4" s="1"/>
  <c r="BP67" i="4"/>
  <c r="BP189" i="4" s="1"/>
  <c r="DD35" i="4"/>
  <c r="CB35" i="4"/>
  <c r="BF20" i="4"/>
  <c r="BZ17" i="4"/>
  <c r="AJ17" i="4"/>
  <c r="AI17" i="4" s="1"/>
  <c r="BE17" i="4" s="1"/>
  <c r="BD34" i="4"/>
  <c r="H135" i="4"/>
  <c r="I134" i="4"/>
  <c r="M131" i="4"/>
  <c r="BJ131" i="4"/>
  <c r="BF131" i="4" s="1"/>
  <c r="CX118" i="4"/>
  <c r="CX114" i="4"/>
  <c r="I113" i="4"/>
  <c r="DK121" i="4"/>
  <c r="AJ106" i="4"/>
  <c r="BA121" i="4"/>
  <c r="BA189" i="4" s="1"/>
  <c r="BA200" i="4" s="1"/>
  <c r="DB121" i="4"/>
  <c r="BF96" i="4"/>
  <c r="CX92" i="4"/>
  <c r="CX90" i="4"/>
  <c r="BH103" i="4"/>
  <c r="M72" i="4"/>
  <c r="DR72" i="4"/>
  <c r="CX72" i="4" s="1"/>
  <c r="BZ72" i="4"/>
  <c r="BF72" i="4" s="1"/>
  <c r="CB71" i="4"/>
  <c r="DD71" i="4"/>
  <c r="CX71" i="4" s="1"/>
  <c r="BF62" i="4"/>
  <c r="CB37" i="4"/>
  <c r="CD67" i="4"/>
  <c r="CD189" i="4" s="1"/>
  <c r="AI16" i="4"/>
  <c r="BE16" i="4" s="1"/>
  <c r="CB13" i="4"/>
  <c r="DD13" i="4"/>
  <c r="CH34" i="4"/>
  <c r="CP121" i="4"/>
  <c r="AJ115" i="4"/>
  <c r="AI115" i="4" s="1"/>
  <c r="BE115" i="4" s="1"/>
  <c r="M108" i="4"/>
  <c r="I108" i="4" s="1"/>
  <c r="DR108" i="4"/>
  <c r="AJ100" i="4"/>
  <c r="AI100" i="4" s="1"/>
  <c r="BE100" i="4" s="1"/>
  <c r="H79" i="4"/>
  <c r="CA79" i="4"/>
  <c r="CW79" i="4" s="1"/>
  <c r="BV63" i="4"/>
  <c r="BF63" i="4" s="1"/>
  <c r="AJ63" i="4"/>
  <c r="AI63" i="4" s="1"/>
  <c r="BE63" i="4" s="1"/>
  <c r="H60" i="4"/>
  <c r="AI56" i="4"/>
  <c r="BE56" i="4" s="1"/>
  <c r="H47" i="4"/>
  <c r="I47" i="4" s="1"/>
  <c r="CA47" i="4"/>
  <c r="CW47" i="4" s="1"/>
  <c r="I46" i="4"/>
  <c r="CA46" i="4"/>
  <c r="CW46" i="4" s="1"/>
  <c r="BI67" i="4"/>
  <c r="BI189" i="4" s="1"/>
  <c r="BI200" i="4" s="1"/>
  <c r="CB44" i="4"/>
  <c r="CZ44" i="4"/>
  <c r="CX44" i="4" s="1"/>
  <c r="BS67" i="4"/>
  <c r="CV34" i="4"/>
  <c r="DR22" i="4"/>
  <c r="DR34" i="4" s="1"/>
  <c r="CX21" i="4"/>
  <c r="CZ34" i="4"/>
  <c r="CX12" i="4"/>
  <c r="AP34" i="4"/>
  <c r="AJ11" i="4"/>
  <c r="AI11" i="4" s="1"/>
  <c r="BE11" i="4" s="1"/>
  <c r="M100" i="4"/>
  <c r="BL97" i="4"/>
  <c r="BF97" i="4" s="1"/>
  <c r="DD97" i="4"/>
  <c r="CX97" i="4" s="1"/>
  <c r="CX96" i="4"/>
  <c r="H89" i="4"/>
  <c r="I89" i="4" s="1"/>
  <c r="BF85" i="4"/>
  <c r="H83" i="4"/>
  <c r="DR79" i="4"/>
  <c r="M79" i="4"/>
  <c r="H76" i="4"/>
  <c r="I76" i="4" s="1"/>
  <c r="CA76" i="4"/>
  <c r="CW76" i="4" s="1"/>
  <c r="CB72" i="4"/>
  <c r="CV103" i="4"/>
  <c r="BQ103" i="4"/>
  <c r="BF39" i="4"/>
  <c r="M35" i="4"/>
  <c r="CZ35" i="4"/>
  <c r="BH35" i="4"/>
  <c r="O67" i="4"/>
  <c r="O189" i="4" s="1"/>
  <c r="O200" i="4" s="1"/>
  <c r="BT33" i="4"/>
  <c r="AJ33" i="4"/>
  <c r="AI33" i="4" s="1"/>
  <c r="BE33" i="4" s="1"/>
  <c r="DL30" i="4"/>
  <c r="CB30" i="4"/>
  <c r="CP34" i="4"/>
  <c r="CX25" i="4"/>
  <c r="CX23" i="4"/>
  <c r="BW34" i="4"/>
  <c r="M10" i="4"/>
  <c r="AG34" i="4"/>
  <c r="DR10" i="4"/>
  <c r="CX10" i="4" s="1"/>
  <c r="BZ10" i="4"/>
  <c r="AI6" i="4"/>
  <c r="BE6" i="4" s="1"/>
  <c r="CB111" i="4"/>
  <c r="CY111" i="4"/>
  <c r="BZ108" i="4"/>
  <c r="BZ198" i="4" s="1"/>
  <c r="T103" i="4"/>
  <c r="M97" i="4"/>
  <c r="I94" i="4"/>
  <c r="CB93" i="4"/>
  <c r="M83" i="4"/>
  <c r="BH83" i="4"/>
  <c r="BF83" i="4" s="1"/>
  <c r="CZ83" i="4"/>
  <c r="I49" i="4"/>
  <c r="AI49" i="4"/>
  <c r="BE49" i="4" s="1"/>
  <c r="DH67" i="4"/>
  <c r="CX28" i="4"/>
  <c r="H28" i="4"/>
  <c r="I28" i="4" s="1"/>
  <c r="CX27" i="4"/>
  <c r="DO34" i="4"/>
  <c r="CX16" i="4"/>
  <c r="CX11" i="4"/>
  <c r="DJ34" i="4"/>
  <c r="CY34" i="4"/>
  <c r="CX6" i="4"/>
  <c r="AI120" i="4"/>
  <c r="BE120" i="4" s="1"/>
  <c r="DO107" i="4"/>
  <c r="CX107" i="4" s="1"/>
  <c r="H91" i="4"/>
  <c r="AI91" i="4"/>
  <c r="BE91" i="4" s="1"/>
  <c r="AI88" i="4"/>
  <c r="BE88" i="4" s="1"/>
  <c r="CA85" i="4"/>
  <c r="CW85" i="4" s="1"/>
  <c r="H85" i="4"/>
  <c r="CX81" i="4"/>
  <c r="BM81" i="4"/>
  <c r="BF81" i="4" s="1"/>
  <c r="M81" i="4"/>
  <c r="CB80" i="4"/>
  <c r="DR80" i="4"/>
  <c r="CX80" i="4" s="1"/>
  <c r="BM78" i="4"/>
  <c r="DE78" i="4"/>
  <c r="CX77" i="4"/>
  <c r="CV67" i="4"/>
  <c r="CB66" i="4"/>
  <c r="H61" i="4"/>
  <c r="BF55" i="4"/>
  <c r="CB54" i="4"/>
  <c r="CZ54" i="4"/>
  <c r="CX54" i="4" s="1"/>
  <c r="BF51" i="4"/>
  <c r="DJ67" i="4"/>
  <c r="I26" i="4"/>
  <c r="AI26" i="4"/>
  <c r="BE26" i="4" s="1"/>
  <c r="CA26" i="4"/>
  <c r="CW26" i="4" s="1"/>
  <c r="DN62" i="4"/>
  <c r="CX62" i="4" s="1"/>
  <c r="BZ59" i="4"/>
  <c r="BF59" i="4" s="1"/>
  <c r="BF57" i="4"/>
  <c r="AJ54" i="4"/>
  <c r="AI54" i="4" s="1"/>
  <c r="BE54" i="4" s="1"/>
  <c r="AI52" i="4"/>
  <c r="BE52" i="4" s="1"/>
  <c r="I52" i="4"/>
  <c r="AJ51" i="4"/>
  <c r="AI51" i="4" s="1"/>
  <c r="BE51" i="4" s="1"/>
  <c r="BD67" i="4"/>
  <c r="BV48" i="4"/>
  <c r="DN48" i="4"/>
  <c r="BL38" i="4"/>
  <c r="BF38" i="4" s="1"/>
  <c r="AJ38" i="4"/>
  <c r="AI38" i="4" s="1"/>
  <c r="BE38" i="4" s="1"/>
  <c r="AJ37" i="4"/>
  <c r="AI37" i="4" s="1"/>
  <c r="BE37" i="4" s="1"/>
  <c r="BV37" i="4"/>
  <c r="AZ67" i="4"/>
  <c r="DE18" i="4"/>
  <c r="BH34" i="4"/>
  <c r="CX5" i="4"/>
  <c r="CA57" i="4"/>
  <c r="CW57" i="4" s="1"/>
  <c r="H57" i="4"/>
  <c r="I57" i="4" s="1"/>
  <c r="BX67" i="4"/>
  <c r="BX189" i="4" s="1"/>
  <c r="BX200" i="4" s="1"/>
  <c r="BZ50" i="4"/>
  <c r="DR50" i="4"/>
  <c r="CX50" i="4" s="1"/>
  <c r="CZ45" i="4"/>
  <c r="CX45" i="4" s="1"/>
  <c r="CB45" i="4"/>
  <c r="CB39" i="4"/>
  <c r="CB32" i="4"/>
  <c r="BF26" i="4"/>
  <c r="H19" i="4"/>
  <c r="BM19" i="4"/>
  <c r="BF19" i="4" s="1"/>
  <c r="DE19" i="4"/>
  <c r="CX19" i="4" s="1"/>
  <c r="M19" i="4"/>
  <c r="BF14" i="4"/>
  <c r="BL11" i="4"/>
  <c r="BF11" i="4" s="1"/>
  <c r="BU34" i="4"/>
  <c r="I4" i="4"/>
  <c r="CA4" i="4"/>
  <c r="CW4" i="4" s="1"/>
  <c r="BM88" i="4"/>
  <c r="DE83" i="4"/>
  <c r="BM74" i="4"/>
  <c r="DD69" i="4"/>
  <c r="DN63" i="4"/>
  <c r="CX63" i="4" s="1"/>
  <c r="CB62" i="4"/>
  <c r="DR61" i="4"/>
  <c r="CX61" i="4" s="1"/>
  <c r="M61" i="4"/>
  <c r="I61" i="4" s="1"/>
  <c r="AI59" i="4"/>
  <c r="BE59" i="4" s="1"/>
  <c r="BZ53" i="4"/>
  <c r="BF53" i="4" s="1"/>
  <c r="AJ53" i="4"/>
  <c r="AI53" i="4" s="1"/>
  <c r="BE53" i="4" s="1"/>
  <c r="BF52" i="4"/>
  <c r="BL48" i="4"/>
  <c r="DD48" i="4"/>
  <c r="S67" i="4"/>
  <c r="S189" i="4" s="1"/>
  <c r="AI44" i="4"/>
  <c r="BE44" i="4" s="1"/>
  <c r="DL31" i="4"/>
  <c r="CB31" i="4"/>
  <c r="BV23" i="4"/>
  <c r="BV195" i="4" s="1"/>
  <c r="AZ34" i="4"/>
  <c r="CA20" i="4"/>
  <c r="CW20" i="4" s="1"/>
  <c r="BF16" i="4"/>
  <c r="I5" i="4"/>
  <c r="AI5" i="4"/>
  <c r="BE5" i="4" s="1"/>
  <c r="CA5" i="4"/>
  <c r="CW5" i="4" s="1"/>
  <c r="BU75" i="4"/>
  <c r="BU196" i="4" s="1"/>
  <c r="CX66" i="4"/>
  <c r="BF64" i="4"/>
  <c r="AJ58" i="4"/>
  <c r="AI58" i="4" s="1"/>
  <c r="BE58" i="4" s="1"/>
  <c r="AN67" i="4"/>
  <c r="M50" i="4"/>
  <c r="CX49" i="4"/>
  <c r="I43" i="4"/>
  <c r="CA43" i="4"/>
  <c r="CW43" i="4" s="1"/>
  <c r="BL42" i="4"/>
  <c r="BF42" i="4" s="1"/>
  <c r="AJ42" i="4"/>
  <c r="AI42" i="4" s="1"/>
  <c r="BE42" i="4" s="1"/>
  <c r="DD40" i="4"/>
  <c r="CX40" i="4" s="1"/>
  <c r="CB40" i="4"/>
  <c r="I36" i="4"/>
  <c r="CA36" i="4"/>
  <c r="CW36" i="4" s="1"/>
  <c r="BJ35" i="4"/>
  <c r="DB35" i="4"/>
  <c r="CX26" i="4"/>
  <c r="CB18" i="4"/>
  <c r="BF15" i="4"/>
  <c r="BF9" i="4"/>
  <c r="DN34" i="4"/>
  <c r="CX52" i="4"/>
  <c r="H49" i="4"/>
  <c r="BF36" i="4"/>
  <c r="CX32" i="4"/>
  <c r="BT32" i="4"/>
  <c r="BF32" i="4" s="1"/>
  <c r="AI30" i="4"/>
  <c r="BE30" i="4" s="1"/>
  <c r="CB24" i="4"/>
  <c r="DD24" i="4"/>
  <c r="CX24" i="4" s="1"/>
  <c r="AI21" i="4"/>
  <c r="BE23" i="4" s="1"/>
  <c r="I14" i="4"/>
  <c r="CX4" i="4"/>
  <c r="BU48" i="4"/>
  <c r="BU67" i="4" s="1"/>
  <c r="DM48" i="4"/>
  <c r="BF45" i="4"/>
  <c r="BL40" i="4"/>
  <c r="BF40" i="4" s="1"/>
  <c r="AJ40" i="4"/>
  <c r="AI40" i="4" s="1"/>
  <c r="BE40" i="4" s="1"/>
  <c r="DM39" i="4"/>
  <c r="CQ34" i="4"/>
  <c r="DK34" i="4"/>
  <c r="I8" i="4"/>
  <c r="BJ34" i="4"/>
  <c r="DD56" i="4"/>
  <c r="CX56" i="4" s="1"/>
  <c r="CB53" i="4"/>
  <c r="DR53" i="4"/>
  <c r="CX53" i="4" s="1"/>
  <c r="CA52" i="4"/>
  <c r="CW52" i="4" s="1"/>
  <c r="CX42" i="4"/>
  <c r="M39" i="4"/>
  <c r="CZ37" i="4"/>
  <c r="CX37" i="4" s="1"/>
  <c r="BH37" i="4"/>
  <c r="CZ36" i="4"/>
  <c r="CX36" i="4" s="1"/>
  <c r="CA27" i="4"/>
  <c r="CW27" i="4" s="1"/>
  <c r="I27" i="4"/>
  <c r="AJ25" i="4"/>
  <c r="AI25" i="4" s="1"/>
  <c r="BE25" i="4" s="1"/>
  <c r="BL25" i="4"/>
  <c r="BF25" i="4" s="1"/>
  <c r="CA23" i="4"/>
  <c r="CW23" i="4" s="1"/>
  <c r="AJ22" i="4"/>
  <c r="AI22" i="4" s="1"/>
  <c r="CB11" i="4"/>
  <c r="BF10" i="4"/>
  <c r="CA6" i="4"/>
  <c r="CW6" i="4" s="1"/>
  <c r="I6" i="4"/>
  <c r="DP34" i="4"/>
  <c r="AI57" i="4"/>
  <c r="BE57" i="4" s="1"/>
  <c r="BF54" i="4"/>
  <c r="H50" i="4"/>
  <c r="BM48" i="4"/>
  <c r="BH44" i="4"/>
  <c r="BF44" i="4" s="1"/>
  <c r="AJ31" i="4"/>
  <c r="AI31" i="4" s="1"/>
  <c r="BE31" i="4" s="1"/>
  <c r="BT31" i="4"/>
  <c r="BF31" i="4" s="1"/>
  <c r="BF28" i="4"/>
  <c r="CB25" i="4"/>
  <c r="BZ22" i="4"/>
  <c r="BF22" i="4" s="1"/>
  <c r="AI20" i="4"/>
  <c r="BE20" i="4" s="1"/>
  <c r="BM18" i="4"/>
  <c r="M18" i="4"/>
  <c r="T34" i="4"/>
  <c r="T189" i="4" s="1"/>
  <c r="T200" i="4" s="1"/>
  <c r="DH34" i="4"/>
  <c r="BR34" i="4"/>
  <c r="BG34" i="4"/>
  <c r="BG189" i="4" s="1"/>
  <c r="BH48" i="4"/>
  <c r="H21" i="4"/>
  <c r="I21" i="4" s="1"/>
  <c r="H20" i="4"/>
  <c r="I20" i="4" s="1"/>
  <c r="H38" i="4"/>
  <c r="I38" i="4" s="1"/>
  <c r="BH49" i="4"/>
  <c r="DD43" i="4"/>
  <c r="CX43" i="4" s="1"/>
  <c r="BL35" i="4"/>
  <c r="BF87" i="5" l="1"/>
  <c r="CX32" i="5"/>
  <c r="BR189" i="4"/>
  <c r="CA60" i="4"/>
  <c r="CW60" i="4" s="1"/>
  <c r="H100" i="4"/>
  <c r="I100" i="4" s="1"/>
  <c r="DP194" i="5"/>
  <c r="BS103" i="5"/>
  <c r="BT194" i="5"/>
  <c r="DM195" i="5"/>
  <c r="CB198" i="4"/>
  <c r="BF182" i="5"/>
  <c r="DD193" i="4"/>
  <c r="H43" i="5"/>
  <c r="I43" i="5" s="1"/>
  <c r="CA43" i="5"/>
  <c r="CW43" i="5" s="1"/>
  <c r="DD34" i="4"/>
  <c r="CA115" i="4"/>
  <c r="CW115" i="4" s="1"/>
  <c r="CX160" i="5"/>
  <c r="DG194" i="5"/>
  <c r="CA149" i="5"/>
  <c r="CW149" i="5" s="1"/>
  <c r="CX182" i="5"/>
  <c r="CC199" i="4"/>
  <c r="I169" i="5"/>
  <c r="BF149" i="5"/>
  <c r="CA90" i="4"/>
  <c r="CW90" i="4" s="1"/>
  <c r="AO200" i="4"/>
  <c r="H64" i="4"/>
  <c r="I64" i="4" s="1"/>
  <c r="BW189" i="4"/>
  <c r="H75" i="4"/>
  <c r="I75" i="4" s="1"/>
  <c r="CO200" i="4"/>
  <c r="H9" i="5"/>
  <c r="I9" i="5" s="1"/>
  <c r="CX162" i="5"/>
  <c r="DM67" i="5"/>
  <c r="CP199" i="4"/>
  <c r="CA92" i="4"/>
  <c r="CW92" i="4" s="1"/>
  <c r="BF165" i="5"/>
  <c r="BA199" i="5"/>
  <c r="DR67" i="5"/>
  <c r="CA50" i="5"/>
  <c r="CW50" i="5" s="1"/>
  <c r="CA98" i="4"/>
  <c r="CW98" i="4" s="1"/>
  <c r="DE194" i="4"/>
  <c r="CX22" i="4"/>
  <c r="BF33" i="4"/>
  <c r="BR192" i="5"/>
  <c r="DR192" i="5"/>
  <c r="CA118" i="5"/>
  <c r="CW118" i="5" s="1"/>
  <c r="DR121" i="5"/>
  <c r="H120" i="5"/>
  <c r="I120" i="5" s="1"/>
  <c r="BF145" i="5"/>
  <c r="I58" i="5"/>
  <c r="AJ196" i="5"/>
  <c r="AI196" i="5" s="1"/>
  <c r="BE196" i="5" s="1"/>
  <c r="CT200" i="5"/>
  <c r="CV197" i="4"/>
  <c r="BZ193" i="4"/>
  <c r="AJ191" i="4"/>
  <c r="AI191" i="4" s="1"/>
  <c r="BE191" i="4" s="1"/>
  <c r="DC191" i="5"/>
  <c r="DC197" i="5" s="1"/>
  <c r="DC199" i="5" s="1"/>
  <c r="CO197" i="5"/>
  <c r="CO199" i="5" s="1"/>
  <c r="CX48" i="5"/>
  <c r="I45" i="5"/>
  <c r="I55" i="5"/>
  <c r="AY197" i="4"/>
  <c r="AY199" i="4" s="1"/>
  <c r="AZ189" i="4"/>
  <c r="CX50" i="5"/>
  <c r="CK200" i="4"/>
  <c r="CC200" i="4"/>
  <c r="BY192" i="5"/>
  <c r="BY197" i="5" s="1"/>
  <c r="BY199" i="5" s="1"/>
  <c r="BY200" i="5" s="1"/>
  <c r="DM196" i="5"/>
  <c r="BZ193" i="5"/>
  <c r="BF162" i="4"/>
  <c r="CB192" i="4"/>
  <c r="BY197" i="4"/>
  <c r="BY199" i="4" s="1"/>
  <c r="CX185" i="4"/>
  <c r="CB192" i="5"/>
  <c r="CA192" i="5" s="1"/>
  <c r="CW192" i="5" s="1"/>
  <c r="CX18" i="4"/>
  <c r="BF37" i="4"/>
  <c r="DL34" i="4"/>
  <c r="DN67" i="4"/>
  <c r="CA185" i="4"/>
  <c r="CW185" i="4" s="1"/>
  <c r="CF189" i="4"/>
  <c r="CF197" i="4"/>
  <c r="CF199" i="4" s="1"/>
  <c r="DC187" i="5"/>
  <c r="DC189" i="5" s="1"/>
  <c r="DC200" i="5" s="1"/>
  <c r="DN195" i="5"/>
  <c r="CX22" i="5"/>
  <c r="BU195" i="5"/>
  <c r="BL194" i="5"/>
  <c r="DR194" i="5"/>
  <c r="DE196" i="4"/>
  <c r="CX19" i="5"/>
  <c r="CT200" i="4"/>
  <c r="BF162" i="5"/>
  <c r="CQ197" i="5"/>
  <c r="CQ199" i="5" s="1"/>
  <c r="BG189" i="5"/>
  <c r="BF48" i="5"/>
  <c r="CX39" i="5"/>
  <c r="CB17" i="4"/>
  <c r="CH193" i="4"/>
  <c r="CB193" i="4" s="1"/>
  <c r="CA193" i="4" s="1"/>
  <c r="CW193" i="4" s="1"/>
  <c r="CQ197" i="4"/>
  <c r="CQ199" i="4" s="1"/>
  <c r="CB196" i="4"/>
  <c r="CI197" i="4"/>
  <c r="CI199" i="4" s="1"/>
  <c r="CR197" i="5"/>
  <c r="CR199" i="5" s="1"/>
  <c r="BF127" i="5"/>
  <c r="BK187" i="5"/>
  <c r="BK189" i="5" s="1"/>
  <c r="CI34" i="5"/>
  <c r="CI189" i="5" s="1"/>
  <c r="AZ200" i="4"/>
  <c r="CX83" i="4"/>
  <c r="BF87" i="4"/>
  <c r="BK191" i="4"/>
  <c r="BK197" i="4" s="1"/>
  <c r="BK199" i="4" s="1"/>
  <c r="BK200" i="4" s="1"/>
  <c r="AJ192" i="5"/>
  <c r="AJ191" i="5"/>
  <c r="AI191" i="5" s="1"/>
  <c r="BE191" i="5" s="1"/>
  <c r="BZ187" i="5"/>
  <c r="DD195" i="5"/>
  <c r="CX117" i="5"/>
  <c r="CO189" i="5"/>
  <c r="CA18" i="5"/>
  <c r="CW18" i="5" s="1"/>
  <c r="DD103" i="5"/>
  <c r="AQ197" i="4"/>
  <c r="AQ199" i="4" s="1"/>
  <c r="H180" i="4"/>
  <c r="I180" i="4" s="1"/>
  <c r="CA180" i="4"/>
  <c r="CW180" i="4" s="1"/>
  <c r="CG200" i="4"/>
  <c r="CX184" i="5"/>
  <c r="BF17" i="4"/>
  <c r="AQ197" i="5"/>
  <c r="AQ199" i="5" s="1"/>
  <c r="H164" i="5"/>
  <c r="I164" i="5" s="1"/>
  <c r="CA164" i="5"/>
  <c r="CW164" i="5" s="1"/>
  <c r="CA96" i="4"/>
  <c r="CW96" i="4" s="1"/>
  <c r="H96" i="4"/>
  <c r="I96" i="4" s="1"/>
  <c r="DE103" i="4"/>
  <c r="DM195" i="4"/>
  <c r="DE18" i="5"/>
  <c r="BF55" i="5"/>
  <c r="DN67" i="5"/>
  <c r="BF142" i="4"/>
  <c r="CB196" i="5"/>
  <c r="CA196" i="5" s="1"/>
  <c r="CW196" i="5" s="1"/>
  <c r="AN189" i="5"/>
  <c r="CX23" i="5"/>
  <c r="CD200" i="4"/>
  <c r="CX47" i="4"/>
  <c r="BS103" i="4"/>
  <c r="BS189" i="4" s="1"/>
  <c r="BJ187" i="5"/>
  <c r="CI193" i="5"/>
  <c r="DK194" i="5"/>
  <c r="CA45" i="5"/>
  <c r="CW45" i="5" s="1"/>
  <c r="CB195" i="5"/>
  <c r="BS67" i="5"/>
  <c r="BS189" i="5" s="1"/>
  <c r="DR193" i="5"/>
  <c r="H12" i="4"/>
  <c r="I12" i="4" s="1"/>
  <c r="CA12" i="4"/>
  <c r="CW12" i="4" s="1"/>
  <c r="DL67" i="4"/>
  <c r="DD195" i="4"/>
  <c r="AW197" i="5"/>
  <c r="AW199" i="5" s="1"/>
  <c r="AW200" i="5" s="1"/>
  <c r="CX108" i="5"/>
  <c r="DG197" i="4"/>
  <c r="DG199" i="4" s="1"/>
  <c r="DG200" i="4" s="1"/>
  <c r="BY189" i="4"/>
  <c r="I98" i="4"/>
  <c r="DN187" i="5"/>
  <c r="CX31" i="5"/>
  <c r="CX52" i="5"/>
  <c r="I62" i="5"/>
  <c r="AP197" i="5"/>
  <c r="AP199" i="5" s="1"/>
  <c r="AJ198" i="4"/>
  <c r="H42" i="4"/>
  <c r="I42" i="4" s="1"/>
  <c r="CA42" i="4"/>
  <c r="CW42" i="4" s="1"/>
  <c r="CJ200" i="4"/>
  <c r="BF48" i="4"/>
  <c r="CB34" i="4"/>
  <c r="CA34" i="4" s="1"/>
  <c r="CW34" i="4" s="1"/>
  <c r="BR197" i="4"/>
  <c r="BR199" i="4" s="1"/>
  <c r="BR200" i="4" s="1"/>
  <c r="BU196" i="5"/>
  <c r="BM103" i="5"/>
  <c r="BL103" i="5"/>
  <c r="BV34" i="5"/>
  <c r="CX75" i="5"/>
  <c r="H75" i="5"/>
  <c r="I75" i="5" s="1"/>
  <c r="CA75" i="5"/>
  <c r="CW75" i="5" s="1"/>
  <c r="H101" i="4"/>
  <c r="I101" i="4" s="1"/>
  <c r="CA101" i="4"/>
  <c r="CW101" i="4" s="1"/>
  <c r="CA162" i="4"/>
  <c r="CW162" i="4" s="1"/>
  <c r="H162" i="4"/>
  <c r="I162" i="4" s="1"/>
  <c r="H114" i="4"/>
  <c r="I114" i="4" s="1"/>
  <c r="CA114" i="4"/>
  <c r="CW114" i="4" s="1"/>
  <c r="DE34" i="4"/>
  <c r="CX39" i="4"/>
  <c r="CV189" i="4"/>
  <c r="BZ187" i="4"/>
  <c r="BZ192" i="4"/>
  <c r="BD197" i="4"/>
  <c r="BD199" i="4" s="1"/>
  <c r="CQ189" i="5"/>
  <c r="CQ200" i="5" s="1"/>
  <c r="BF96" i="5"/>
  <c r="CA35" i="5"/>
  <c r="CW35" i="5" s="1"/>
  <c r="DO197" i="5"/>
  <c r="H44" i="5"/>
  <c r="I44" i="5" s="1"/>
  <c r="BF106" i="5"/>
  <c r="BF121" i="5" s="1"/>
  <c r="CA30" i="5"/>
  <c r="CW30" i="5" s="1"/>
  <c r="H30" i="5"/>
  <c r="I30" i="5" s="1"/>
  <c r="DF67" i="4"/>
  <c r="DF189" i="4" s="1"/>
  <c r="DF194" i="4"/>
  <c r="DF197" i="4" s="1"/>
  <c r="DF199" i="4" s="1"/>
  <c r="BM194" i="5"/>
  <c r="BJ187" i="4"/>
  <c r="CH197" i="5"/>
  <c r="CH199" i="5" s="1"/>
  <c r="AP189" i="5"/>
  <c r="BF49" i="4"/>
  <c r="BL195" i="4"/>
  <c r="BZ34" i="4"/>
  <c r="BU103" i="4"/>
  <c r="BU189" i="4" s="1"/>
  <c r="BT194" i="4"/>
  <c r="BF84" i="4"/>
  <c r="AQ189" i="4"/>
  <c r="CS199" i="4"/>
  <c r="CS200" i="4" s="1"/>
  <c r="BT34" i="4"/>
  <c r="AJ196" i="4"/>
  <c r="AI196" i="4" s="1"/>
  <c r="BE196" i="4" s="1"/>
  <c r="CB198" i="5"/>
  <c r="CA198" i="5" s="1"/>
  <c r="CW198" i="5" s="1"/>
  <c r="BW121" i="5"/>
  <c r="BW189" i="5" s="1"/>
  <c r="CF189" i="5"/>
  <c r="BU103" i="5"/>
  <c r="BF42" i="5"/>
  <c r="BF44" i="5"/>
  <c r="AJ195" i="5"/>
  <c r="AJ194" i="4"/>
  <c r="AL200" i="4"/>
  <c r="AZ189" i="5"/>
  <c r="AX199" i="4"/>
  <c r="CV189" i="5"/>
  <c r="H33" i="4"/>
  <c r="I33" i="4" s="1"/>
  <c r="CA33" i="4"/>
  <c r="CW33" i="4" s="1"/>
  <c r="AN189" i="4"/>
  <c r="AJ192" i="4"/>
  <c r="AJ193" i="4"/>
  <c r="BG197" i="5"/>
  <c r="BG199" i="5" s="1"/>
  <c r="BG200" i="5" s="1"/>
  <c r="BZ192" i="5"/>
  <c r="CA123" i="5"/>
  <c r="CW123" i="5" s="1"/>
  <c r="AV200" i="5"/>
  <c r="CA100" i="5"/>
  <c r="CW100" i="5" s="1"/>
  <c r="BM196" i="5"/>
  <c r="AZ197" i="5"/>
  <c r="AZ199" i="5" s="1"/>
  <c r="BB200" i="5"/>
  <c r="DM103" i="5"/>
  <c r="CP197" i="5"/>
  <c r="CP199" i="5" s="1"/>
  <c r="H101" i="5"/>
  <c r="I101" i="5" s="1"/>
  <c r="CA101" i="5"/>
  <c r="CW101" i="5" s="1"/>
  <c r="CB194" i="5"/>
  <c r="I145" i="4"/>
  <c r="BL196" i="5"/>
  <c r="BA200" i="5"/>
  <c r="BZ194" i="4"/>
  <c r="CX112" i="5"/>
  <c r="I50" i="5"/>
  <c r="BT67" i="5"/>
  <c r="BM34" i="4"/>
  <c r="DP67" i="4"/>
  <c r="DP189" i="4" s="1"/>
  <c r="AP189" i="4"/>
  <c r="BT198" i="4"/>
  <c r="CV199" i="4"/>
  <c r="AK199" i="5"/>
  <c r="AK200" i="5" s="1"/>
  <c r="DM198" i="5"/>
  <c r="BV195" i="5"/>
  <c r="BW197" i="5"/>
  <c r="AY197" i="5"/>
  <c r="AY199" i="5" s="1"/>
  <c r="H37" i="5"/>
  <c r="I37" i="5" s="1"/>
  <c r="CA37" i="5"/>
  <c r="CW37" i="5" s="1"/>
  <c r="CN200" i="5"/>
  <c r="DQ200" i="5"/>
  <c r="BQ200" i="5"/>
  <c r="BM189" i="5"/>
  <c r="T200" i="5"/>
  <c r="H7" i="5"/>
  <c r="CA7" i="5"/>
  <c r="CW7" i="5" s="1"/>
  <c r="CX87" i="5"/>
  <c r="BX189" i="5"/>
  <c r="CA144" i="5"/>
  <c r="CW144" i="5" s="1"/>
  <c r="H144" i="5"/>
  <c r="DJ197" i="5"/>
  <c r="DJ199" i="5" s="1"/>
  <c r="BQ197" i="5"/>
  <c r="BQ199" i="5" s="1"/>
  <c r="BD197" i="5"/>
  <c r="BD199" i="5" s="1"/>
  <c r="I155" i="5"/>
  <c r="CA155" i="5"/>
  <c r="CW155" i="5" s="1"/>
  <c r="DB196" i="5"/>
  <c r="I89" i="5"/>
  <c r="CA89" i="5"/>
  <c r="CW89" i="5" s="1"/>
  <c r="BV194" i="5"/>
  <c r="CJ200" i="5"/>
  <c r="DP189" i="5"/>
  <c r="BT121" i="5"/>
  <c r="AI98" i="5"/>
  <c r="BE98" i="5" s="1"/>
  <c r="CA98" i="5"/>
  <c r="CW98" i="5" s="1"/>
  <c r="I98" i="5"/>
  <c r="CA39" i="5"/>
  <c r="CW39" i="5" s="1"/>
  <c r="BZ194" i="5"/>
  <c r="H81" i="5"/>
  <c r="I81" i="5" s="1"/>
  <c r="CA81" i="5"/>
  <c r="CW81" i="5" s="1"/>
  <c r="AX197" i="5"/>
  <c r="AX199" i="5" s="1"/>
  <c r="R197" i="5"/>
  <c r="R199" i="5" s="1"/>
  <c r="R200" i="5" s="1"/>
  <c r="I51" i="5"/>
  <c r="CA51" i="5"/>
  <c r="CW51" i="5" s="1"/>
  <c r="AI51" i="5"/>
  <c r="BE51" i="5" s="1"/>
  <c r="BO189" i="5"/>
  <c r="H48" i="5"/>
  <c r="I48" i="5" s="1"/>
  <c r="CA48" i="5"/>
  <c r="CW48" i="5" s="1"/>
  <c r="I21" i="5"/>
  <c r="AI21" i="5"/>
  <c r="BE23" i="5" s="1"/>
  <c r="CA21" i="5"/>
  <c r="CW21" i="5" s="1"/>
  <c r="CA71" i="5"/>
  <c r="CW71" i="5" s="1"/>
  <c r="H71" i="5"/>
  <c r="I71" i="5" s="1"/>
  <c r="CP189" i="5"/>
  <c r="CZ194" i="5"/>
  <c r="H65" i="5"/>
  <c r="I65" i="5" s="1"/>
  <c r="CA65" i="5"/>
  <c r="CW65" i="5" s="1"/>
  <c r="BZ34" i="5"/>
  <c r="BU67" i="5"/>
  <c r="BF19" i="5"/>
  <c r="I136" i="5"/>
  <c r="AI136" i="5"/>
  <c r="BE136" i="5" s="1"/>
  <c r="AJ193" i="5"/>
  <c r="AI193" i="5" s="1"/>
  <c r="BE193" i="5" s="1"/>
  <c r="M192" i="5"/>
  <c r="AI144" i="5"/>
  <c r="BE144" i="5" s="1"/>
  <c r="AI170" i="5"/>
  <c r="BE170" i="5" s="1"/>
  <c r="I108" i="5"/>
  <c r="AI108" i="5"/>
  <c r="BE108" i="5" s="1"/>
  <c r="CA108" i="5"/>
  <c r="CW108" i="5" s="1"/>
  <c r="CB121" i="5"/>
  <c r="CA105" i="5"/>
  <c r="CW105" i="5" s="1"/>
  <c r="H105" i="5"/>
  <c r="AI146" i="5"/>
  <c r="BE146" i="5" s="1"/>
  <c r="CA146" i="5"/>
  <c r="CW146" i="5" s="1"/>
  <c r="I146" i="5"/>
  <c r="CA127" i="5"/>
  <c r="CW127" i="5" s="1"/>
  <c r="H127" i="5"/>
  <c r="I127" i="5" s="1"/>
  <c r="AI151" i="5"/>
  <c r="BE151" i="5" s="1"/>
  <c r="BV187" i="5"/>
  <c r="BV189" i="5" s="1"/>
  <c r="Q197" i="5"/>
  <c r="Q199" i="5" s="1"/>
  <c r="BU194" i="5"/>
  <c r="BU197" i="5" s="1"/>
  <c r="BU199" i="5" s="1"/>
  <c r="H66" i="5"/>
  <c r="I66" i="5" s="1"/>
  <c r="CA66" i="5"/>
  <c r="CW66" i="5" s="1"/>
  <c r="DE194" i="5"/>
  <c r="DE67" i="5"/>
  <c r="BM192" i="5"/>
  <c r="CA80" i="5"/>
  <c r="CW80" i="5" s="1"/>
  <c r="I80" i="5"/>
  <c r="BH103" i="5"/>
  <c r="DA194" i="5"/>
  <c r="DA197" i="5" s="1"/>
  <c r="DA199" i="5" s="1"/>
  <c r="DA67" i="5"/>
  <c r="DA189" i="5" s="1"/>
  <c r="DA200" i="5" s="1"/>
  <c r="DE34" i="5"/>
  <c r="BT195" i="5"/>
  <c r="BT197" i="5" s="1"/>
  <c r="BT34" i="5"/>
  <c r="BF4" i="5"/>
  <c r="BT198" i="5"/>
  <c r="BF64" i="5"/>
  <c r="BZ67" i="5"/>
  <c r="DF194" i="5"/>
  <c r="DF197" i="5" s="1"/>
  <c r="DF199" i="5" s="1"/>
  <c r="DF67" i="5"/>
  <c r="DF189" i="5" s="1"/>
  <c r="DK67" i="5"/>
  <c r="DK189" i="5" s="1"/>
  <c r="BZ191" i="5"/>
  <c r="AX189" i="5"/>
  <c r="BM193" i="5"/>
  <c r="M34" i="5"/>
  <c r="M189" i="5" s="1"/>
  <c r="CA33" i="5"/>
  <c r="CW33" i="5" s="1"/>
  <c r="H33" i="5"/>
  <c r="I33" i="5" s="1"/>
  <c r="BF71" i="5"/>
  <c r="BF103" i="5" s="1"/>
  <c r="BU34" i="5"/>
  <c r="DR34" i="5"/>
  <c r="AQ189" i="5"/>
  <c r="AQ200" i="5" s="1"/>
  <c r="BZ195" i="5"/>
  <c r="CA76" i="5"/>
  <c r="CW76" i="5" s="1"/>
  <c r="H76" i="5"/>
  <c r="I76" i="5" s="1"/>
  <c r="I124" i="5"/>
  <c r="AI124" i="5"/>
  <c r="BE124" i="5" s="1"/>
  <c r="M187" i="5"/>
  <c r="M191" i="5"/>
  <c r="CA87" i="5"/>
  <c r="CW87" i="5" s="1"/>
  <c r="H87" i="5"/>
  <c r="I87" i="5" s="1"/>
  <c r="I74" i="5"/>
  <c r="CA74" i="5"/>
  <c r="CW74" i="5" s="1"/>
  <c r="AI74" i="5"/>
  <c r="BE74" i="5" s="1"/>
  <c r="CD197" i="5"/>
  <c r="CD199" i="5" s="1"/>
  <c r="CD200" i="5" s="1"/>
  <c r="H17" i="5"/>
  <c r="CA17" i="5"/>
  <c r="CW17" i="5" s="1"/>
  <c r="BH196" i="5"/>
  <c r="BJ195" i="5"/>
  <c r="BF135" i="5"/>
  <c r="CB34" i="5"/>
  <c r="M195" i="5"/>
  <c r="CB103" i="5"/>
  <c r="CA103" i="5" s="1"/>
  <c r="CW103" i="5" s="1"/>
  <c r="I176" i="5"/>
  <c r="CA176" i="5"/>
  <c r="CW176" i="5" s="1"/>
  <c r="AI176" i="5"/>
  <c r="BE176" i="5" s="1"/>
  <c r="I147" i="5"/>
  <c r="AI147" i="5"/>
  <c r="BE147" i="5" s="1"/>
  <c r="AN197" i="5"/>
  <c r="AN199" i="5" s="1"/>
  <c r="CF197" i="5"/>
  <c r="CF199" i="5" s="1"/>
  <c r="DB192" i="5"/>
  <c r="CX192" i="5" s="1"/>
  <c r="AI92" i="5"/>
  <c r="BE92" i="5" s="1"/>
  <c r="DR196" i="5"/>
  <c r="DR103" i="5"/>
  <c r="I64" i="5"/>
  <c r="CA64" i="5"/>
  <c r="CW64" i="5" s="1"/>
  <c r="CB67" i="5"/>
  <c r="CA67" i="5" s="1"/>
  <c r="CW67" i="5" s="1"/>
  <c r="CA63" i="5"/>
  <c r="CW63" i="5" s="1"/>
  <c r="H63" i="5"/>
  <c r="I63" i="5" s="1"/>
  <c r="H49" i="5"/>
  <c r="I49" i="5" s="1"/>
  <c r="CA49" i="5"/>
  <c r="CW49" i="5" s="1"/>
  <c r="AG189" i="5"/>
  <c r="AG200" i="5" s="1"/>
  <c r="CA46" i="5"/>
  <c r="CW46" i="5" s="1"/>
  <c r="H46" i="5"/>
  <c r="I46" i="5" s="1"/>
  <c r="I70" i="5"/>
  <c r="AJ194" i="5"/>
  <c r="CS199" i="5"/>
  <c r="CS200" i="5" s="1"/>
  <c r="CV197" i="5"/>
  <c r="CV199" i="5" s="1"/>
  <c r="AI173" i="5"/>
  <c r="BE173" i="5" s="1"/>
  <c r="I173" i="5"/>
  <c r="CA173" i="5"/>
  <c r="CW173" i="5" s="1"/>
  <c r="DH197" i="5"/>
  <c r="DH199" i="5" s="1"/>
  <c r="I129" i="5"/>
  <c r="BZ121" i="5"/>
  <c r="AI155" i="5"/>
  <c r="BE155" i="5" s="1"/>
  <c r="AI169" i="5"/>
  <c r="BE169" i="5" s="1"/>
  <c r="I122" i="5"/>
  <c r="CX142" i="5"/>
  <c r="S197" i="5"/>
  <c r="S199" i="5" s="1"/>
  <c r="S200" i="5" s="1"/>
  <c r="DL121" i="5"/>
  <c r="BO197" i="5"/>
  <c r="BO199" i="5" s="1"/>
  <c r="DB187" i="5"/>
  <c r="CK200" i="5"/>
  <c r="I163" i="5"/>
  <c r="CA163" i="5"/>
  <c r="CW163" i="5" s="1"/>
  <c r="AI163" i="5"/>
  <c r="BE163" i="5" s="1"/>
  <c r="CY198" i="5"/>
  <c r="DD196" i="5"/>
  <c r="BH194" i="5"/>
  <c r="BH67" i="5"/>
  <c r="BF35" i="5"/>
  <c r="AC200" i="5"/>
  <c r="DB103" i="5"/>
  <c r="CY197" i="5"/>
  <c r="BF18" i="5"/>
  <c r="CA129" i="5"/>
  <c r="CW129" i="5" s="1"/>
  <c r="CY121" i="5"/>
  <c r="CY189" i="5" s="1"/>
  <c r="AJ103" i="5"/>
  <c r="AI103" i="5" s="1"/>
  <c r="BE103" i="5" s="1"/>
  <c r="M194" i="5"/>
  <c r="M67" i="5"/>
  <c r="I35" i="5"/>
  <c r="CA12" i="5"/>
  <c r="CW12" i="5" s="1"/>
  <c r="H12" i="5"/>
  <c r="I12" i="5" s="1"/>
  <c r="DN194" i="5"/>
  <c r="DN197" i="5" s="1"/>
  <c r="DN199" i="5" s="1"/>
  <c r="CX114" i="5"/>
  <c r="DJ189" i="5"/>
  <c r="DJ200" i="5" s="1"/>
  <c r="BF47" i="5"/>
  <c r="CX36" i="5"/>
  <c r="CZ67" i="5"/>
  <c r="CZ189" i="5" s="1"/>
  <c r="CX17" i="5"/>
  <c r="CA22" i="5"/>
  <c r="CW22" i="5" s="1"/>
  <c r="H22" i="5"/>
  <c r="I22" i="5" s="1"/>
  <c r="DB195" i="5"/>
  <c r="H111" i="5"/>
  <c r="I111" i="5" s="1"/>
  <c r="CA111" i="5"/>
  <c r="CW111" i="5" s="1"/>
  <c r="H117" i="5"/>
  <c r="I117" i="5" s="1"/>
  <c r="CA117" i="5"/>
  <c r="CW117" i="5" s="1"/>
  <c r="DO198" i="5"/>
  <c r="DO121" i="5"/>
  <c r="DO189" i="5" s="1"/>
  <c r="I41" i="5"/>
  <c r="CA41" i="5"/>
  <c r="CW41" i="5" s="1"/>
  <c r="CR189" i="5"/>
  <c r="CR200" i="5" s="1"/>
  <c r="BN194" i="5"/>
  <c r="BN197" i="5" s="1"/>
  <c r="BN199" i="5" s="1"/>
  <c r="BN67" i="5"/>
  <c r="BN189" i="5" s="1"/>
  <c r="BJ192" i="5"/>
  <c r="BF144" i="5"/>
  <c r="CX154" i="5"/>
  <c r="DE187" i="5"/>
  <c r="BW199" i="5"/>
  <c r="CE200" i="5"/>
  <c r="M193" i="5"/>
  <c r="H160" i="5"/>
  <c r="I160" i="5" s="1"/>
  <c r="CA160" i="5"/>
  <c r="CW160" i="5" s="1"/>
  <c r="I99" i="5"/>
  <c r="CA99" i="5"/>
  <c r="CW99" i="5" s="1"/>
  <c r="AI99" i="5"/>
  <c r="BE99" i="5" s="1"/>
  <c r="AI131" i="5"/>
  <c r="BE131" i="5" s="1"/>
  <c r="DN121" i="5"/>
  <c r="AI89" i="5"/>
  <c r="BE89" i="5" s="1"/>
  <c r="DH189" i="5"/>
  <c r="AA200" i="5"/>
  <c r="CB191" i="5"/>
  <c r="BR197" i="5"/>
  <c r="BR199" i="5" s="1"/>
  <c r="DP197" i="5"/>
  <c r="DP199" i="5" s="1"/>
  <c r="CA172" i="5"/>
  <c r="CW172" i="5" s="1"/>
  <c r="CA170" i="5"/>
  <c r="CW170" i="5" s="1"/>
  <c r="BZ198" i="5"/>
  <c r="BP197" i="5"/>
  <c r="BP199" i="5" s="1"/>
  <c r="DD187" i="5"/>
  <c r="BX197" i="5"/>
  <c r="BX199" i="5" s="1"/>
  <c r="H107" i="5"/>
  <c r="I107" i="5" s="1"/>
  <c r="CA107" i="5"/>
  <c r="CW107" i="5" s="1"/>
  <c r="DB191" i="5"/>
  <c r="CX124" i="5"/>
  <c r="BD189" i="5"/>
  <c r="BD200" i="5" s="1"/>
  <c r="H177" i="5"/>
  <c r="I177" i="5" s="1"/>
  <c r="CA177" i="5"/>
  <c r="CW177" i="5" s="1"/>
  <c r="AI64" i="5"/>
  <c r="BE64" i="5" s="1"/>
  <c r="CG200" i="5"/>
  <c r="AJ187" i="5"/>
  <c r="AI187" i="5" s="1"/>
  <c r="BE187" i="5" s="1"/>
  <c r="AI122" i="5"/>
  <c r="BE122" i="5" s="1"/>
  <c r="I102" i="5"/>
  <c r="CA90" i="5"/>
  <c r="CW90" i="5" s="1"/>
  <c r="H90" i="5"/>
  <c r="I90" i="5" s="1"/>
  <c r="DG197" i="5"/>
  <c r="DG199" i="5" s="1"/>
  <c r="DG200" i="5" s="1"/>
  <c r="BH34" i="5"/>
  <c r="CA97" i="5"/>
  <c r="CW97" i="5" s="1"/>
  <c r="BR189" i="5"/>
  <c r="CZ196" i="5"/>
  <c r="CX78" i="5"/>
  <c r="CZ103" i="5"/>
  <c r="Q189" i="5"/>
  <c r="Q200" i="5" s="1"/>
  <c r="H11" i="5"/>
  <c r="I11" i="5" s="1"/>
  <c r="CA11" i="5"/>
  <c r="CW11" i="5" s="1"/>
  <c r="BL34" i="5"/>
  <c r="DL34" i="5"/>
  <c r="DL189" i="5" s="1"/>
  <c r="CA72" i="5"/>
  <c r="CW72" i="5" s="1"/>
  <c r="H72" i="5"/>
  <c r="I72" i="5" s="1"/>
  <c r="CA55" i="5"/>
  <c r="CW55" i="5" s="1"/>
  <c r="O189" i="5"/>
  <c r="O200" i="5" s="1"/>
  <c r="AI47" i="5"/>
  <c r="BE47" i="5" s="1"/>
  <c r="I47" i="5"/>
  <c r="CZ193" i="5"/>
  <c r="AB189" i="5"/>
  <c r="AB200" i="5" s="1"/>
  <c r="BL67" i="5"/>
  <c r="I149" i="5"/>
  <c r="AI149" i="5"/>
  <c r="BE149" i="5" s="1"/>
  <c r="DD194" i="5"/>
  <c r="DD67" i="5"/>
  <c r="DL197" i="5"/>
  <c r="DL199" i="5" s="1"/>
  <c r="BV193" i="5"/>
  <c r="BP189" i="5"/>
  <c r="BP200" i="5" s="1"/>
  <c r="H114" i="5"/>
  <c r="I114" i="5" s="1"/>
  <c r="CA114" i="5"/>
  <c r="CW114" i="5" s="1"/>
  <c r="AI172" i="5"/>
  <c r="BE172" i="5" s="1"/>
  <c r="BS197" i="5"/>
  <c r="BS199" i="5" s="1"/>
  <c r="AJ121" i="5"/>
  <c r="AI121" i="5" s="1"/>
  <c r="BE121" i="5" s="1"/>
  <c r="AI105" i="5"/>
  <c r="BE105" i="5" s="1"/>
  <c r="CA151" i="5"/>
  <c r="CW151" i="5" s="1"/>
  <c r="CX105" i="5"/>
  <c r="AL200" i="5"/>
  <c r="AY189" i="5"/>
  <c r="I16" i="5"/>
  <c r="CA16" i="5"/>
  <c r="CW16" i="5" s="1"/>
  <c r="CC199" i="5"/>
  <c r="CC200" i="5" s="1"/>
  <c r="I168" i="5"/>
  <c r="CA168" i="5"/>
  <c r="DM197" i="5"/>
  <c r="BF160" i="5"/>
  <c r="I126" i="5"/>
  <c r="CA126" i="5"/>
  <c r="CW126" i="5" s="1"/>
  <c r="AJ198" i="5"/>
  <c r="AI198" i="5" s="1"/>
  <c r="BE198" i="5" s="1"/>
  <c r="BK192" i="5"/>
  <c r="BK197" i="5" s="1"/>
  <c r="BK199" i="5" s="1"/>
  <c r="CB187" i="5"/>
  <c r="CA187" i="5" s="1"/>
  <c r="CW187" i="5" s="1"/>
  <c r="I96" i="5"/>
  <c r="CA92" i="5"/>
  <c r="CW92" i="5" s="1"/>
  <c r="BJ191" i="5"/>
  <c r="BF124" i="5"/>
  <c r="M121" i="5"/>
  <c r="AI39" i="5"/>
  <c r="BE39" i="5" s="1"/>
  <c r="DR187" i="5"/>
  <c r="DK196" i="5"/>
  <c r="AZ200" i="5"/>
  <c r="BZ196" i="5"/>
  <c r="BZ103" i="5"/>
  <c r="AI35" i="5"/>
  <c r="BE35" i="5" s="1"/>
  <c r="AJ67" i="5"/>
  <c r="AI67" i="5" s="1"/>
  <c r="BE67" i="5" s="1"/>
  <c r="BL187" i="5"/>
  <c r="M103" i="5"/>
  <c r="DD34" i="5"/>
  <c r="AI97" i="5"/>
  <c r="BE97" i="5" s="1"/>
  <c r="AJ34" i="5"/>
  <c r="AI4" i="5"/>
  <c r="BE4" i="5" s="1"/>
  <c r="CA78" i="5"/>
  <c r="CW78" i="5" s="1"/>
  <c r="I78" i="5"/>
  <c r="BJ194" i="5"/>
  <c r="BJ67" i="5"/>
  <c r="BJ189" i="5" s="1"/>
  <c r="CH189" i="5"/>
  <c r="BL195" i="5"/>
  <c r="AI58" i="5"/>
  <c r="BE58" i="5" s="1"/>
  <c r="CX47" i="5"/>
  <c r="CA36" i="5"/>
  <c r="CW36" i="5" s="1"/>
  <c r="H36" i="5"/>
  <c r="I36" i="5" s="1"/>
  <c r="CA19" i="5"/>
  <c r="CW19" i="5" s="1"/>
  <c r="H19" i="5"/>
  <c r="I19" i="5" s="1"/>
  <c r="BL193" i="5"/>
  <c r="I10" i="4"/>
  <c r="AI10" i="4"/>
  <c r="BE10" i="4" s="1"/>
  <c r="M195" i="4"/>
  <c r="CA61" i="4"/>
  <c r="CW61" i="4" s="1"/>
  <c r="CA44" i="4"/>
  <c r="CW44" i="4" s="1"/>
  <c r="H44" i="4"/>
  <c r="I44" i="4" s="1"/>
  <c r="CA131" i="4"/>
  <c r="CW131" i="4" s="1"/>
  <c r="I131" i="4"/>
  <c r="H112" i="4"/>
  <c r="I112" i="4" s="1"/>
  <c r="CA112" i="4"/>
  <c r="CW112" i="4" s="1"/>
  <c r="I87" i="4"/>
  <c r="AI87" i="4"/>
  <c r="BE87" i="4" s="1"/>
  <c r="CA138" i="4"/>
  <c r="CW138" i="4" s="1"/>
  <c r="I138" i="4"/>
  <c r="AJ67" i="4"/>
  <c r="BM187" i="4"/>
  <c r="BF172" i="4"/>
  <c r="BF18" i="4"/>
  <c r="BF34" i="4" s="1"/>
  <c r="BM193" i="4"/>
  <c r="CA18" i="4"/>
  <c r="CW18" i="4" s="1"/>
  <c r="H18" i="4"/>
  <c r="I18" i="4" s="1"/>
  <c r="CA40" i="4"/>
  <c r="CW40" i="4" s="1"/>
  <c r="H40" i="4"/>
  <c r="I40" i="4" s="1"/>
  <c r="I50" i="4"/>
  <c r="AI50" i="4"/>
  <c r="BE50" i="4" s="1"/>
  <c r="S200" i="4"/>
  <c r="M34" i="4"/>
  <c r="I19" i="4"/>
  <c r="AI19" i="4"/>
  <c r="BE19" i="4" s="1"/>
  <c r="CX111" i="4"/>
  <c r="CY121" i="4"/>
  <c r="CY189" i="4" s="1"/>
  <c r="BW200" i="4"/>
  <c r="AJ121" i="4"/>
  <c r="AI106" i="4"/>
  <c r="BE106" i="4" s="1"/>
  <c r="H35" i="4"/>
  <c r="I35" i="4" s="1"/>
  <c r="CB67" i="4"/>
  <c r="CA35" i="4"/>
  <c r="CW35" i="4" s="1"/>
  <c r="BZ103" i="4"/>
  <c r="BZ196" i="4"/>
  <c r="DM198" i="4"/>
  <c r="I172" i="4"/>
  <c r="AI172" i="4"/>
  <c r="BE172" i="4" s="1"/>
  <c r="CA172" i="4"/>
  <c r="CW172" i="4" s="1"/>
  <c r="BJ192" i="4"/>
  <c r="CA160" i="4"/>
  <c r="CW160" i="4" s="1"/>
  <c r="H160" i="4"/>
  <c r="H192" i="4" s="1"/>
  <c r="DB191" i="4"/>
  <c r="I156" i="4"/>
  <c r="AI156" i="4"/>
  <c r="BE156" i="4" s="1"/>
  <c r="BF105" i="4"/>
  <c r="BH198" i="4"/>
  <c r="BH121" i="4"/>
  <c r="I139" i="4"/>
  <c r="AI139" i="4"/>
  <c r="BE139" i="4" s="1"/>
  <c r="I159" i="4"/>
  <c r="CA159" i="4"/>
  <c r="CW159" i="4" s="1"/>
  <c r="CA174" i="4"/>
  <c r="CW174" i="4" s="1"/>
  <c r="I174" i="4"/>
  <c r="AI174" i="4"/>
  <c r="BE174" i="4" s="1"/>
  <c r="DR192" i="4"/>
  <c r="DC197" i="4"/>
  <c r="DC199" i="4" s="1"/>
  <c r="BF127" i="4"/>
  <c r="CB194" i="4"/>
  <c r="CA31" i="4"/>
  <c r="CW31" i="4" s="1"/>
  <c r="H31" i="4"/>
  <c r="I31" i="4" s="1"/>
  <c r="CX48" i="4"/>
  <c r="CA62" i="4"/>
  <c r="CW62" i="4" s="1"/>
  <c r="H62" i="4"/>
  <c r="I62" i="4" s="1"/>
  <c r="H39" i="4"/>
  <c r="I39" i="4" s="1"/>
  <c r="CA39" i="4"/>
  <c r="CW39" i="4" s="1"/>
  <c r="BV67" i="4"/>
  <c r="BV194" i="4"/>
  <c r="BV197" i="4" s="1"/>
  <c r="BV199" i="4" s="1"/>
  <c r="CA80" i="4"/>
  <c r="CW80" i="4" s="1"/>
  <c r="H80" i="4"/>
  <c r="I80" i="4" s="1"/>
  <c r="DR67" i="4"/>
  <c r="I83" i="4"/>
  <c r="CA111" i="4"/>
  <c r="CW111" i="4" s="1"/>
  <c r="H111" i="4"/>
  <c r="I111" i="4" s="1"/>
  <c r="CA83" i="4"/>
  <c r="CW83" i="4" s="1"/>
  <c r="CH189" i="4"/>
  <c r="AI72" i="4"/>
  <c r="BE72" i="4" s="1"/>
  <c r="DD67" i="4"/>
  <c r="DD194" i="4"/>
  <c r="I68" i="4"/>
  <c r="CA68" i="4"/>
  <c r="CW68" i="4" s="1"/>
  <c r="M103" i="4"/>
  <c r="M196" i="4"/>
  <c r="CA196" i="4" s="1"/>
  <c r="CW196" i="4" s="1"/>
  <c r="AI68" i="4"/>
  <c r="BE68" i="4" s="1"/>
  <c r="AI39" i="4"/>
  <c r="BE39" i="4" s="1"/>
  <c r="I115" i="4"/>
  <c r="CA139" i="4"/>
  <c r="CW139" i="4" s="1"/>
  <c r="CA73" i="4"/>
  <c r="CW73" i="4" s="1"/>
  <c r="H73" i="4"/>
  <c r="I73" i="4" s="1"/>
  <c r="BL187" i="4"/>
  <c r="DB195" i="4"/>
  <c r="CX172" i="4"/>
  <c r="BF110" i="4"/>
  <c r="CA144" i="4"/>
  <c r="CW144" i="4" s="1"/>
  <c r="M192" i="4"/>
  <c r="CA192" i="4" s="1"/>
  <c r="CW192" i="4" s="1"/>
  <c r="AI144" i="4"/>
  <c r="BE144" i="4" s="1"/>
  <c r="I144" i="4"/>
  <c r="BU194" i="4"/>
  <c r="BU197" i="4" s="1"/>
  <c r="BU199" i="4" s="1"/>
  <c r="DN198" i="4"/>
  <c r="BO189" i="4"/>
  <c r="BO200" i="4" s="1"/>
  <c r="AI105" i="4"/>
  <c r="BE105" i="4" s="1"/>
  <c r="CA105" i="4"/>
  <c r="CW105" i="4" s="1"/>
  <c r="M121" i="4"/>
  <c r="M198" i="4"/>
  <c r="I105" i="4"/>
  <c r="BF129" i="4"/>
  <c r="CA48" i="4"/>
  <c r="CW48" i="4" s="1"/>
  <c r="H48" i="4"/>
  <c r="I48" i="4" s="1"/>
  <c r="DM121" i="4"/>
  <c r="CA70" i="4"/>
  <c r="CW70" i="4" s="1"/>
  <c r="H70" i="4"/>
  <c r="CB103" i="4"/>
  <c r="I158" i="4"/>
  <c r="CA158" i="4"/>
  <c r="CW158" i="4" s="1"/>
  <c r="BV187" i="4"/>
  <c r="BT121" i="4"/>
  <c r="BT189" i="4" s="1"/>
  <c r="AI158" i="4"/>
  <c r="BE158" i="4" s="1"/>
  <c r="CB195" i="4"/>
  <c r="DM187" i="4"/>
  <c r="CA32" i="4"/>
  <c r="CW32" i="4" s="1"/>
  <c r="H32" i="4"/>
  <c r="I32" i="4" s="1"/>
  <c r="H54" i="4"/>
  <c r="I54" i="4" s="1"/>
  <c r="CA54" i="4"/>
  <c r="CW54" i="4" s="1"/>
  <c r="I135" i="4"/>
  <c r="AI135" i="4"/>
  <c r="BE135" i="4" s="1"/>
  <c r="CX158" i="4"/>
  <c r="CZ192" i="4"/>
  <c r="CX105" i="4"/>
  <c r="CZ121" i="4"/>
  <c r="CZ198" i="4"/>
  <c r="I60" i="4"/>
  <c r="AI60" i="4"/>
  <c r="BE60" i="4" s="1"/>
  <c r="I116" i="4"/>
  <c r="CA116" i="4"/>
  <c r="CW116" i="4" s="1"/>
  <c r="AI138" i="4"/>
  <c r="BE138" i="4" s="1"/>
  <c r="BF78" i="4"/>
  <c r="BH196" i="4"/>
  <c r="CX144" i="4"/>
  <c r="DB192" i="4"/>
  <c r="AI192" i="4"/>
  <c r="BE192" i="4" s="1"/>
  <c r="BG197" i="4"/>
  <c r="BG199" i="4" s="1"/>
  <c r="BG200" i="4" s="1"/>
  <c r="CA50" i="4"/>
  <c r="CW50" i="4" s="1"/>
  <c r="DN189" i="4"/>
  <c r="CX31" i="4"/>
  <c r="H13" i="4"/>
  <c r="I13" i="4" s="1"/>
  <c r="CA13" i="4"/>
  <c r="CW13" i="4" s="1"/>
  <c r="CA95" i="4"/>
  <c r="CW95" i="4" s="1"/>
  <c r="I95" i="4"/>
  <c r="CA87" i="4"/>
  <c r="CW87" i="4" s="1"/>
  <c r="H182" i="4"/>
  <c r="I182" i="4" s="1"/>
  <c r="CA182" i="4"/>
  <c r="CW182" i="4" s="1"/>
  <c r="I163" i="4"/>
  <c r="CA163" i="4"/>
  <c r="CW163" i="4" s="1"/>
  <c r="DH189" i="4"/>
  <c r="DH200" i="4" s="1"/>
  <c r="CA25" i="4"/>
  <c r="CW25" i="4" s="1"/>
  <c r="H25" i="4"/>
  <c r="I25" i="4" s="1"/>
  <c r="CQ189" i="4"/>
  <c r="H24" i="4"/>
  <c r="I24" i="4" s="1"/>
  <c r="CA24" i="4"/>
  <c r="CW24" i="4" s="1"/>
  <c r="DB67" i="4"/>
  <c r="DB194" i="4"/>
  <c r="CA19" i="4"/>
  <c r="CW19" i="4" s="1"/>
  <c r="CA45" i="4"/>
  <c r="CW45" i="4" s="1"/>
  <c r="H45" i="4"/>
  <c r="I45" i="4" s="1"/>
  <c r="BF50" i="4"/>
  <c r="CA91" i="4"/>
  <c r="CW91" i="4" s="1"/>
  <c r="CA97" i="4"/>
  <c r="CW97" i="4" s="1"/>
  <c r="I97" i="4"/>
  <c r="CP189" i="4"/>
  <c r="CP200" i="4" s="1"/>
  <c r="M67" i="4"/>
  <c r="M194" i="4"/>
  <c r="AI66" i="4"/>
  <c r="BE66" i="4" s="1"/>
  <c r="I124" i="4"/>
  <c r="M191" i="4"/>
  <c r="AI124" i="4"/>
  <c r="BE124" i="4" s="1"/>
  <c r="M187" i="4"/>
  <c r="CA124" i="4"/>
  <c r="CW124" i="4" s="1"/>
  <c r="I152" i="4"/>
  <c r="AI152" i="4"/>
  <c r="BE152" i="4" s="1"/>
  <c r="H55" i="4"/>
  <c r="I55" i="4" s="1"/>
  <c r="CA55" i="4"/>
  <c r="CW55" i="4" s="1"/>
  <c r="I58" i="4"/>
  <c r="CA58" i="4"/>
  <c r="CW58" i="4" s="1"/>
  <c r="CX84" i="4"/>
  <c r="DD187" i="4"/>
  <c r="AI129" i="4"/>
  <c r="BE129" i="4" s="1"/>
  <c r="I129" i="4"/>
  <c r="I167" i="4"/>
  <c r="DR121" i="4"/>
  <c r="CX78" i="4"/>
  <c r="CZ103" i="4"/>
  <c r="CZ196" i="4"/>
  <c r="DK103" i="4"/>
  <c r="AP197" i="4"/>
  <c r="AP199" i="4" s="1"/>
  <c r="DO197" i="4"/>
  <c r="CA127" i="4"/>
  <c r="CW127" i="4" s="1"/>
  <c r="H127" i="4"/>
  <c r="H191" i="4" s="1"/>
  <c r="AY189" i="4"/>
  <c r="AY200" i="4" s="1"/>
  <c r="BF184" i="4"/>
  <c r="AI167" i="4"/>
  <c r="BE167" i="4" s="1"/>
  <c r="BT195" i="4"/>
  <c r="CA184" i="4"/>
  <c r="CW184" i="4" s="1"/>
  <c r="H184" i="4"/>
  <c r="I184" i="4" s="1"/>
  <c r="DR191" i="4"/>
  <c r="CA129" i="4"/>
  <c r="CW129" i="4" s="1"/>
  <c r="BZ195" i="4"/>
  <c r="AI116" i="4"/>
  <c r="BE116" i="4" s="1"/>
  <c r="AI154" i="4"/>
  <c r="BE154" i="4" s="1"/>
  <c r="CA78" i="4"/>
  <c r="CW78" i="4" s="1"/>
  <c r="H78" i="4"/>
  <c r="I78" i="4" s="1"/>
  <c r="AI127" i="4"/>
  <c r="BE127" i="4" s="1"/>
  <c r="H37" i="4"/>
  <c r="I37" i="4" s="1"/>
  <c r="CA37" i="4"/>
  <c r="CW37" i="4" s="1"/>
  <c r="BL67" i="4"/>
  <c r="BL194" i="4"/>
  <c r="AI81" i="4"/>
  <c r="BE81" i="4" s="1"/>
  <c r="CA81" i="4"/>
  <c r="CW81" i="4" s="1"/>
  <c r="I81" i="4"/>
  <c r="AJ34" i="4"/>
  <c r="BH67" i="4"/>
  <c r="BH189" i="4" s="1"/>
  <c r="BF35" i="4"/>
  <c r="BH194" i="4"/>
  <c r="CA72" i="4"/>
  <c r="CW72" i="4" s="1"/>
  <c r="H72" i="4"/>
  <c r="I72" i="4" s="1"/>
  <c r="BP200" i="4"/>
  <c r="DR103" i="4"/>
  <c r="DR196" i="4"/>
  <c r="BF108" i="4"/>
  <c r="CA123" i="4"/>
  <c r="CW123" i="4" s="1"/>
  <c r="H123" i="4"/>
  <c r="I123" i="4" s="1"/>
  <c r="BJ191" i="4"/>
  <c r="DR187" i="4"/>
  <c r="DD103" i="4"/>
  <c r="DD196" i="4"/>
  <c r="CX69" i="4"/>
  <c r="AI184" i="4"/>
  <c r="BE184" i="4" s="1"/>
  <c r="BM192" i="4"/>
  <c r="CX13" i="4"/>
  <c r="CX34" i="4" s="1"/>
  <c r="CA53" i="4"/>
  <c r="CW53" i="4" s="1"/>
  <c r="H53" i="4"/>
  <c r="I53" i="4" s="1"/>
  <c r="CA10" i="4"/>
  <c r="CW10" i="4" s="1"/>
  <c r="BJ67" i="4"/>
  <c r="BJ194" i="4"/>
  <c r="BM196" i="4"/>
  <c r="BF23" i="4"/>
  <c r="DE193" i="4"/>
  <c r="DN194" i="4"/>
  <c r="DN197" i="4" s="1"/>
  <c r="DN199" i="4" s="1"/>
  <c r="AI95" i="4"/>
  <c r="BE95" i="4" s="1"/>
  <c r="DJ189" i="4"/>
  <c r="DJ200" i="4" s="1"/>
  <c r="DR195" i="4"/>
  <c r="CA30" i="4"/>
  <c r="CW30" i="4" s="1"/>
  <c r="H30" i="4"/>
  <c r="I30" i="4" s="1"/>
  <c r="I79" i="4"/>
  <c r="AI79" i="4"/>
  <c r="BE79" i="4" s="1"/>
  <c r="CX68" i="4"/>
  <c r="DR198" i="4"/>
  <c r="CX122" i="4"/>
  <c r="BF65" i="4"/>
  <c r="I155" i="4"/>
  <c r="CA155" i="4"/>
  <c r="CW155" i="4" s="1"/>
  <c r="CA106" i="4"/>
  <c r="CW106" i="4" s="1"/>
  <c r="H106" i="4"/>
  <c r="CB121" i="4"/>
  <c r="DL121" i="4"/>
  <c r="DL198" i="4"/>
  <c r="I142" i="4"/>
  <c r="AI176" i="4"/>
  <c r="BE176" i="4" s="1"/>
  <c r="CA176" i="4"/>
  <c r="CW176" i="4" s="1"/>
  <c r="I176" i="4"/>
  <c r="CY198" i="4"/>
  <c r="CZ187" i="4"/>
  <c r="CX127" i="4"/>
  <c r="DB187" i="4"/>
  <c r="AI153" i="4"/>
  <c r="BE153" i="4" s="1"/>
  <c r="I153" i="4"/>
  <c r="BF88" i="4"/>
  <c r="BM103" i="4"/>
  <c r="BH187" i="4"/>
  <c r="Q200" i="4"/>
  <c r="AX189" i="4"/>
  <c r="CX87" i="4"/>
  <c r="BS197" i="4"/>
  <c r="BS199" i="4" s="1"/>
  <c r="BF163" i="4"/>
  <c r="CA156" i="4"/>
  <c r="CW156" i="4" s="1"/>
  <c r="AI131" i="4"/>
  <c r="BE131" i="4" s="1"/>
  <c r="DQ200" i="4"/>
  <c r="BL103" i="4"/>
  <c r="BL196" i="4"/>
  <c r="CR189" i="4"/>
  <c r="CR200" i="4" s="1"/>
  <c r="BF155" i="4"/>
  <c r="CI200" i="4"/>
  <c r="CX108" i="4"/>
  <c r="AJ195" i="4"/>
  <c r="BF160" i="4"/>
  <c r="AI142" i="4"/>
  <c r="BE142" i="4" s="1"/>
  <c r="AI18" i="4"/>
  <c r="BE18" i="4" s="1"/>
  <c r="M193" i="4"/>
  <c r="DO121" i="4"/>
  <c r="DO189" i="4" s="1"/>
  <c r="DO198" i="4"/>
  <c r="CY197" i="4"/>
  <c r="I170" i="4"/>
  <c r="AI170" i="4"/>
  <c r="BE170" i="4" s="1"/>
  <c r="BM67" i="4"/>
  <c r="BM194" i="4"/>
  <c r="CA66" i="4"/>
  <c r="CW66" i="4" s="1"/>
  <c r="H66" i="4"/>
  <c r="I66" i="4" s="1"/>
  <c r="CA93" i="4"/>
  <c r="CW93" i="4" s="1"/>
  <c r="H93" i="4"/>
  <c r="I93" i="4" s="1"/>
  <c r="CA135" i="4"/>
  <c r="CW135" i="4" s="1"/>
  <c r="AJ187" i="4"/>
  <c r="AI187" i="4" s="1"/>
  <c r="BE187" i="4" s="1"/>
  <c r="AI122" i="4"/>
  <c r="BE122" i="4" s="1"/>
  <c r="I166" i="4"/>
  <c r="AI166" i="4"/>
  <c r="BE166" i="4" s="1"/>
  <c r="CA166" i="4"/>
  <c r="CW166" i="4" s="1"/>
  <c r="BZ121" i="4"/>
  <c r="CA154" i="4"/>
  <c r="CW154" i="4" s="1"/>
  <c r="CX117" i="4"/>
  <c r="DJ197" i="4"/>
  <c r="DJ199" i="4" s="1"/>
  <c r="CA11" i="4"/>
  <c r="CW11" i="4" s="1"/>
  <c r="H11" i="4"/>
  <c r="I11" i="4" s="1"/>
  <c r="BL34" i="4"/>
  <c r="CX35" i="4"/>
  <c r="CZ67" i="4"/>
  <c r="CZ189" i="4" s="1"/>
  <c r="CZ194" i="4"/>
  <c r="BF68" i="4"/>
  <c r="BD189" i="4"/>
  <c r="BV34" i="4"/>
  <c r="DK67" i="4"/>
  <c r="DK189" i="4" s="1"/>
  <c r="DK194" i="4"/>
  <c r="DK197" i="4" s="1"/>
  <c r="DK199" i="4" s="1"/>
  <c r="I85" i="4"/>
  <c r="BF144" i="4"/>
  <c r="H122" i="4"/>
  <c r="CA122" i="4"/>
  <c r="CW122" i="4" s="1"/>
  <c r="CB187" i="4"/>
  <c r="CA187" i="4" s="1"/>
  <c r="CW187" i="4" s="1"/>
  <c r="AI145" i="4"/>
  <c r="BE145" i="4" s="1"/>
  <c r="BQ189" i="4"/>
  <c r="BQ200" i="4" s="1"/>
  <c r="DM67" i="4"/>
  <c r="DM194" i="4"/>
  <c r="DR194" i="4"/>
  <c r="AI85" i="4"/>
  <c r="BE85" i="4" s="1"/>
  <c r="BZ67" i="4"/>
  <c r="AI78" i="4"/>
  <c r="BE78" i="4" s="1"/>
  <c r="CX106" i="4"/>
  <c r="AG189" i="4"/>
  <c r="AG200" i="4" s="1"/>
  <c r="DL195" i="4"/>
  <c r="DL197" i="4" s="1"/>
  <c r="AI61" i="4"/>
  <c r="BE61" i="4" s="1"/>
  <c r="H71" i="4"/>
  <c r="I71" i="4" s="1"/>
  <c r="CA71" i="4"/>
  <c r="CW71" i="4" s="1"/>
  <c r="BJ196" i="4"/>
  <c r="BF90" i="4"/>
  <c r="CA108" i="4"/>
  <c r="CW108" i="4" s="1"/>
  <c r="I136" i="4"/>
  <c r="CA136" i="4"/>
  <c r="CW136" i="4" s="1"/>
  <c r="AI97" i="4"/>
  <c r="BE97" i="4" s="1"/>
  <c r="DC187" i="4"/>
  <c r="DC189" i="4" s="1"/>
  <c r="AI159" i="4"/>
  <c r="BE159" i="4" s="1"/>
  <c r="BJ103" i="4"/>
  <c r="CA86" i="4"/>
  <c r="CW86" i="4" s="1"/>
  <c r="H86" i="4"/>
  <c r="I86" i="4" s="1"/>
  <c r="H119" i="4"/>
  <c r="I119" i="4" s="1"/>
  <c r="CA119" i="4"/>
  <c r="CW119" i="4" s="1"/>
  <c r="BF158" i="4"/>
  <c r="CA84" i="4"/>
  <c r="CW84" i="4" s="1"/>
  <c r="H84" i="4"/>
  <c r="I84" i="4" s="1"/>
  <c r="BF122" i="4"/>
  <c r="AJ103" i="4"/>
  <c r="CA142" i="4"/>
  <c r="CW142" i="4" s="1"/>
  <c r="H117" i="4"/>
  <c r="I117" i="4" s="1"/>
  <c r="CA117" i="4"/>
  <c r="CW117" i="4" s="1"/>
  <c r="AN197" i="4"/>
  <c r="AN199" i="4" s="1"/>
  <c r="AN200" i="4" s="1"/>
  <c r="CX116" i="4"/>
  <c r="I164" i="4"/>
  <c r="DP197" i="4"/>
  <c r="DP199" i="4" s="1"/>
  <c r="DR189" i="4" l="1"/>
  <c r="CF200" i="5"/>
  <c r="BT197" i="4"/>
  <c r="CF200" i="4"/>
  <c r="BY200" i="4"/>
  <c r="DM189" i="5"/>
  <c r="BK200" i="5"/>
  <c r="AI192" i="5"/>
  <c r="BE192" i="5" s="1"/>
  <c r="CV200" i="5"/>
  <c r="DR197" i="5"/>
  <c r="DR199" i="5" s="1"/>
  <c r="H193" i="5"/>
  <c r="DE189" i="4"/>
  <c r="DE200" i="4" s="1"/>
  <c r="CH197" i="4"/>
  <c r="CH199" i="4" s="1"/>
  <c r="BU189" i="5"/>
  <c r="BU200" i="5" s="1"/>
  <c r="AJ197" i="4"/>
  <c r="AJ199" i="4" s="1"/>
  <c r="DM197" i="4"/>
  <c r="DM199" i="4" s="1"/>
  <c r="BM189" i="4"/>
  <c r="BF192" i="5"/>
  <c r="DB189" i="5"/>
  <c r="AQ200" i="4"/>
  <c r="CO200" i="5"/>
  <c r="BL197" i="5"/>
  <c r="BL199" i="5" s="1"/>
  <c r="CX195" i="5"/>
  <c r="BH189" i="5"/>
  <c r="CA195" i="5"/>
  <c r="CW195" i="5" s="1"/>
  <c r="CQ200" i="4"/>
  <c r="DK197" i="5"/>
  <c r="DK199" i="5" s="1"/>
  <c r="DK200" i="5" s="1"/>
  <c r="H17" i="4"/>
  <c r="I17" i="4" s="1"/>
  <c r="I34" i="4" s="1"/>
  <c r="CA17" i="4"/>
  <c r="CW17" i="4" s="1"/>
  <c r="BF193" i="4"/>
  <c r="AN200" i="5"/>
  <c r="AJ197" i="5"/>
  <c r="AI197" i="5" s="1"/>
  <c r="BE197" i="5" s="1"/>
  <c r="BS200" i="4"/>
  <c r="CP200" i="5"/>
  <c r="DE197" i="4"/>
  <c r="DE199" i="4" s="1"/>
  <c r="AY200" i="5"/>
  <c r="CX187" i="5"/>
  <c r="AI195" i="5"/>
  <c r="BE195" i="5" s="1"/>
  <c r="AP200" i="5"/>
  <c r="DM189" i="4"/>
  <c r="DM200" i="4" s="1"/>
  <c r="CY199" i="4"/>
  <c r="CY200" i="4" s="1"/>
  <c r="BF187" i="5"/>
  <c r="CX67" i="5"/>
  <c r="BF194" i="5"/>
  <c r="CI197" i="5"/>
  <c r="CI199" i="5" s="1"/>
  <c r="CI200" i="5" s="1"/>
  <c r="CB193" i="5"/>
  <c r="CA193" i="5" s="1"/>
  <c r="CW193" i="5" s="1"/>
  <c r="CX67" i="4"/>
  <c r="BM197" i="4"/>
  <c r="BM199" i="4" s="1"/>
  <c r="BZ197" i="4"/>
  <c r="BZ199" i="4" s="1"/>
  <c r="BF192" i="4"/>
  <c r="I193" i="4"/>
  <c r="DN189" i="5"/>
  <c r="DN200" i="5" s="1"/>
  <c r="CA194" i="5"/>
  <c r="CW194" i="5" s="1"/>
  <c r="BF196" i="5"/>
  <c r="AI194" i="4"/>
  <c r="BE194" i="4" s="1"/>
  <c r="BS200" i="5"/>
  <c r="CX18" i="5"/>
  <c r="CX34" i="5" s="1"/>
  <c r="DE193" i="5"/>
  <c r="CX193" i="5" s="1"/>
  <c r="AI193" i="4"/>
  <c r="BE193" i="4" s="1"/>
  <c r="BF198" i="5"/>
  <c r="DL189" i="4"/>
  <c r="CB197" i="4"/>
  <c r="CB199" i="4" s="1"/>
  <c r="I127" i="4"/>
  <c r="I191" i="4" s="1"/>
  <c r="BV197" i="5"/>
  <c r="BV199" i="5" s="1"/>
  <c r="BV200" i="5" s="1"/>
  <c r="BM197" i="5"/>
  <c r="BM199" i="5" s="1"/>
  <c r="DO199" i="5"/>
  <c r="DO200" i="5" s="1"/>
  <c r="DK200" i="4"/>
  <c r="CX103" i="5"/>
  <c r="BF67" i="4"/>
  <c r="BF198" i="4"/>
  <c r="BJ197" i="5"/>
  <c r="BJ199" i="5" s="1"/>
  <c r="BJ200" i="5" s="1"/>
  <c r="BH197" i="5"/>
  <c r="BH199" i="5" s="1"/>
  <c r="BL189" i="4"/>
  <c r="CX193" i="4"/>
  <c r="DM199" i="5"/>
  <c r="DM200" i="5" s="1"/>
  <c r="CX195" i="4"/>
  <c r="BJ189" i="4"/>
  <c r="BZ189" i="4"/>
  <c r="DB189" i="4"/>
  <c r="CH200" i="5"/>
  <c r="DL200" i="5"/>
  <c r="BD200" i="4"/>
  <c r="BF196" i="4"/>
  <c r="AX200" i="4"/>
  <c r="DO199" i="4"/>
  <c r="DO200" i="4" s="1"/>
  <c r="CX198" i="5"/>
  <c r="DP200" i="4"/>
  <c r="CX187" i="4"/>
  <c r="BF193" i="5"/>
  <c r="BR200" i="5"/>
  <c r="I196" i="5"/>
  <c r="AP200" i="4"/>
  <c r="DD189" i="4"/>
  <c r="DD197" i="5"/>
  <c r="DD199" i="5" s="1"/>
  <c r="DF200" i="5"/>
  <c r="DF200" i="4"/>
  <c r="BT199" i="4"/>
  <c r="BT200" i="4" s="1"/>
  <c r="BL197" i="4"/>
  <c r="BL199" i="4" s="1"/>
  <c r="BF195" i="4"/>
  <c r="BT199" i="5"/>
  <c r="CV200" i="4"/>
  <c r="M200" i="5"/>
  <c r="BF195" i="5"/>
  <c r="DE189" i="5"/>
  <c r="H191" i="5"/>
  <c r="I103" i="5"/>
  <c r="H192" i="5"/>
  <c r="H187" i="5"/>
  <c r="DD189" i="5"/>
  <c r="DD200" i="5" s="1"/>
  <c r="H196" i="5"/>
  <c r="BF67" i="5"/>
  <c r="CB189" i="5"/>
  <c r="CA34" i="5"/>
  <c r="CW34" i="5" s="1"/>
  <c r="M197" i="5"/>
  <c r="M199" i="5" s="1"/>
  <c r="F191" i="5"/>
  <c r="DR189" i="5"/>
  <c r="DR200" i="5" s="1"/>
  <c r="BZ197" i="5"/>
  <c r="BZ199" i="5" s="1"/>
  <c r="DP200" i="5"/>
  <c r="CX196" i="5"/>
  <c r="I7" i="5"/>
  <c r="H195" i="5"/>
  <c r="H34" i="5"/>
  <c r="H103" i="5"/>
  <c r="CX121" i="5"/>
  <c r="BL189" i="5"/>
  <c r="BL200" i="5" s="1"/>
  <c r="CB197" i="5"/>
  <c r="CA191" i="5"/>
  <c r="CW191" i="5" s="1"/>
  <c r="I17" i="5"/>
  <c r="I193" i="5" s="1"/>
  <c r="DB197" i="5"/>
  <c r="DB199" i="5" s="1"/>
  <c r="DB200" i="5" s="1"/>
  <c r="CX191" i="5"/>
  <c r="BN200" i="5"/>
  <c r="I194" i="5"/>
  <c r="I67" i="5"/>
  <c r="H67" i="5"/>
  <c r="H198" i="5"/>
  <c r="H121" i="5"/>
  <c r="I105" i="5"/>
  <c r="BO200" i="5"/>
  <c r="AJ199" i="5"/>
  <c r="BF191" i="5"/>
  <c r="DH200" i="5"/>
  <c r="H194" i="5"/>
  <c r="AI194" i="5"/>
  <c r="BE194" i="5" s="1"/>
  <c r="BW200" i="5"/>
  <c r="BF34" i="5"/>
  <c r="I144" i="5"/>
  <c r="I192" i="5" s="1"/>
  <c r="BZ189" i="5"/>
  <c r="BX200" i="5"/>
  <c r="CX194" i="5"/>
  <c r="AJ189" i="5"/>
  <c r="AI34" i="5"/>
  <c r="BE34" i="5" s="1"/>
  <c r="CZ197" i="5"/>
  <c r="CZ199" i="5" s="1"/>
  <c r="CZ200" i="5" s="1"/>
  <c r="AX200" i="5"/>
  <c r="CY199" i="5"/>
  <c r="CY200" i="5" s="1"/>
  <c r="I191" i="5"/>
  <c r="BT189" i="5"/>
  <c r="CA121" i="5"/>
  <c r="CW121" i="5" s="1"/>
  <c r="BM200" i="5"/>
  <c r="BJ197" i="4"/>
  <c r="BJ199" i="4" s="1"/>
  <c r="BF191" i="4"/>
  <c r="CA198" i="4"/>
  <c r="CW198" i="4" s="1"/>
  <c r="AI198" i="4"/>
  <c r="BE198" i="4" s="1"/>
  <c r="AI103" i="4"/>
  <c r="BE103" i="4" s="1"/>
  <c r="BH197" i="4"/>
  <c r="BH199" i="4" s="1"/>
  <c r="BH200" i="4" s="1"/>
  <c r="BF194" i="4"/>
  <c r="CA121" i="4"/>
  <c r="CW121" i="4" s="1"/>
  <c r="CX198" i="4"/>
  <c r="H121" i="4"/>
  <c r="I106" i="4"/>
  <c r="I121" i="4" s="1"/>
  <c r="H198" i="4"/>
  <c r="DN200" i="4"/>
  <c r="AI195" i="4"/>
  <c r="BE195" i="4" s="1"/>
  <c r="DD197" i="4"/>
  <c r="DD199" i="4" s="1"/>
  <c r="CW67" i="4"/>
  <c r="CB189" i="4"/>
  <c r="AI34" i="4"/>
  <c r="BE34" i="4" s="1"/>
  <c r="AJ189" i="4"/>
  <c r="CX196" i="4"/>
  <c r="I67" i="4"/>
  <c r="I194" i="4"/>
  <c r="H195" i="4"/>
  <c r="CA67" i="4"/>
  <c r="AI67" i="4"/>
  <c r="BE67" i="4" s="1"/>
  <c r="DC200" i="4"/>
  <c r="BF103" i="4"/>
  <c r="CX121" i="4"/>
  <c r="H34" i="4"/>
  <c r="CA194" i="4"/>
  <c r="CW194" i="4" s="1"/>
  <c r="BF121" i="4"/>
  <c r="H67" i="4"/>
  <c r="H194" i="4"/>
  <c r="M189" i="4"/>
  <c r="DR197" i="4"/>
  <c r="DR199" i="4" s="1"/>
  <c r="DR200" i="4" s="1"/>
  <c r="DB197" i="4"/>
  <c r="DB199" i="4" s="1"/>
  <c r="CX191" i="4"/>
  <c r="BV189" i="4"/>
  <c r="BV200" i="4" s="1"/>
  <c r="H187" i="4"/>
  <c r="I122" i="4"/>
  <c r="I195" i="4" s="1"/>
  <c r="CZ197" i="4"/>
  <c r="CZ199" i="4" s="1"/>
  <c r="CZ200" i="4" s="1"/>
  <c r="CX192" i="4"/>
  <c r="H196" i="4"/>
  <c r="I70" i="4"/>
  <c r="I103" i="4" s="1"/>
  <c r="H103" i="4"/>
  <c r="BF187" i="4"/>
  <c r="CX103" i="4"/>
  <c r="I196" i="4"/>
  <c r="CX194" i="4"/>
  <c r="F191" i="4"/>
  <c r="M197" i="4"/>
  <c r="M199" i="4" s="1"/>
  <c r="CA195" i="4"/>
  <c r="CW195" i="4" s="1"/>
  <c r="DL199" i="4"/>
  <c r="DL200" i="4" s="1"/>
  <c r="I160" i="4"/>
  <c r="I192" i="4" s="1"/>
  <c r="BU200" i="4"/>
  <c r="CA191" i="4"/>
  <c r="CW191" i="4" s="1"/>
  <c r="CA103" i="4"/>
  <c r="CW103" i="4" s="1"/>
  <c r="CH200" i="4"/>
  <c r="AI121" i="4"/>
  <c r="BE121" i="4" s="1"/>
  <c r="CX189" i="5" l="1"/>
  <c r="H193" i="4"/>
  <c r="H197" i="4" s="1"/>
  <c r="H199" i="4" s="1"/>
  <c r="BZ200" i="4"/>
  <c r="BM200" i="4"/>
  <c r="I198" i="4"/>
  <c r="DD200" i="4"/>
  <c r="BF189" i="5"/>
  <c r="BF200" i="5" s="1"/>
  <c r="BT200" i="5"/>
  <c r="BH200" i="5"/>
  <c r="DB200" i="4"/>
  <c r="BJ200" i="4"/>
  <c r="DE197" i="5"/>
  <c r="DE199" i="5" s="1"/>
  <c r="DE200" i="5" s="1"/>
  <c r="BF189" i="4"/>
  <c r="BF197" i="5"/>
  <c r="BF199" i="5" s="1"/>
  <c r="AJ201" i="5" s="1"/>
  <c r="BL200" i="4"/>
  <c r="BF197" i="4"/>
  <c r="BF199" i="4" s="1"/>
  <c r="AJ201" i="4" s="1"/>
  <c r="BZ200" i="5"/>
  <c r="CX189" i="4"/>
  <c r="CB199" i="5"/>
  <c r="CB200" i="5" s="1"/>
  <c r="CA197" i="5"/>
  <c r="CW197" i="5" s="1"/>
  <c r="H197" i="5"/>
  <c r="H199" i="5" s="1"/>
  <c r="I198" i="5"/>
  <c r="I121" i="5"/>
  <c r="CX197" i="5"/>
  <c r="CX199" i="5" s="1"/>
  <c r="CX200" i="5" s="1"/>
  <c r="I187" i="5"/>
  <c r="CA189" i="5"/>
  <c r="CW189" i="5" s="1"/>
  <c r="H189" i="5"/>
  <c r="AI199" i="5"/>
  <c r="BE199" i="5" s="1"/>
  <c r="AJ200" i="5"/>
  <c r="AI189" i="5"/>
  <c r="BE189" i="5" s="1"/>
  <c r="I34" i="5"/>
  <c r="I195" i="5"/>
  <c r="I197" i="5" s="1"/>
  <c r="CX197" i="4"/>
  <c r="CX199" i="4" s="1"/>
  <c r="CB201" i="4" s="1"/>
  <c r="AI199" i="4"/>
  <c r="BE199" i="4" s="1"/>
  <c r="I197" i="4"/>
  <c r="H189" i="4"/>
  <c r="CA189" i="4"/>
  <c r="CW189" i="4" s="1"/>
  <c r="CB200" i="4"/>
  <c r="M200" i="4"/>
  <c r="I187" i="4"/>
  <c r="I189" i="4" s="1"/>
  <c r="AI189" i="4"/>
  <c r="BE189" i="4" s="1"/>
  <c r="AJ200" i="4"/>
  <c r="CA199" i="4"/>
  <c r="CW199" i="4" s="1"/>
  <c r="CA197" i="4"/>
  <c r="CW197" i="4" s="1"/>
  <c r="AI197" i="4"/>
  <c r="BE197" i="4" s="1"/>
  <c r="BF200" i="4" l="1"/>
  <c r="I199" i="5"/>
  <c r="I199" i="4"/>
  <c r="CX200" i="4"/>
  <c r="I189" i="5"/>
  <c r="CB201" i="5"/>
  <c r="CA199" i="5"/>
  <c r="CW199" i="5" s="1"/>
</calcChain>
</file>

<file path=xl/comments1.xml><?xml version="1.0" encoding="utf-8"?>
<comments xmlns="http://schemas.openxmlformats.org/spreadsheetml/2006/main">
  <authors>
    <author>Planeación</author>
  </authors>
  <commentList>
    <comment ref="AB1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300.000.000 F.Educación
597.519.551 traslado F.E
176.737.279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B1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300.000.000 F.Educación
597.519.551 traslado F.E
176.737.279</t>
        </r>
      </text>
    </comment>
  </commentList>
</comments>
</file>

<file path=xl/comments3.xml><?xml version="1.0" encoding="utf-8"?>
<comments xmlns="http://schemas.openxmlformats.org/spreadsheetml/2006/main">
  <authors>
    <author>Planeación</author>
  </authors>
  <commentList>
    <comment ref="AB199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300.000.000 F.Educación
597.519.551 traslado F.E
176.737.279</t>
        </r>
      </text>
    </comment>
  </commentList>
</comments>
</file>

<file path=xl/sharedStrings.xml><?xml version="1.0" encoding="utf-8"?>
<sst xmlns="http://schemas.openxmlformats.org/spreadsheetml/2006/main" count="2425" uniqueCount="582">
  <si>
    <t>TOTAL PLAN DE ACCION 2015</t>
  </si>
  <si>
    <t xml:space="preserve"> </t>
  </si>
  <si>
    <t>BIENESTAR UNIVERSITARIO</t>
  </si>
  <si>
    <t>TOTAL INVERSION</t>
  </si>
  <si>
    <t>EXTENSION</t>
  </si>
  <si>
    <t>PLANEACION</t>
  </si>
  <si>
    <t>INVESTIGACIONES</t>
  </si>
  <si>
    <t>CAPACITACION</t>
  </si>
  <si>
    <t>ADQUISICION EQUIPOS</t>
  </si>
  <si>
    <t>CONSTRUCCIONES</t>
  </si>
  <si>
    <t>TOTALES</t>
  </si>
  <si>
    <t>TOTAL SUBSISTEMA ADMINISTRATIVO</t>
  </si>
  <si>
    <t>VIC. ADTIVA.</t>
  </si>
  <si>
    <t>Adquisición de un bien Inmueble</t>
  </si>
  <si>
    <t>SA-PY8.1</t>
  </si>
  <si>
    <t>F.EDUCACION
F.INGENIERIA</t>
  </si>
  <si>
    <t>Apoyo económico asistencia a eventos de capacitación, académicos y personal administrativos.</t>
  </si>
  <si>
    <t>SA-PY7.2</t>
  </si>
  <si>
    <t>Ejecución Plan de Capacitación para el personal Administrativo y de Trabajadores Oficiales.</t>
  </si>
  <si>
    <t>SA-PY7.1</t>
  </si>
  <si>
    <t>SA-PY7. Formación y Capacitación al Personal Administrativo y Operativo.</t>
  </si>
  <si>
    <t>Análisis y evaluación para la creacion del cargo de tesorero para la oficina de Fondos Especiales.</t>
  </si>
  <si>
    <t>SA-PY6.1</t>
  </si>
  <si>
    <t>SA-PY6.  Desconcentración y delegación de los procesos administrativos y académicos.</t>
  </si>
  <si>
    <t>Estudio de Prospectiva</t>
  </si>
  <si>
    <t>SA-PY5.5</t>
  </si>
  <si>
    <t>Socialización de la  propuesta de modernización.</t>
  </si>
  <si>
    <t>SA-PY5.4</t>
  </si>
  <si>
    <t>Elaboración de estudio de factibilidad ténico-financiero de la modernización académico administrativa.</t>
  </si>
  <si>
    <t>SA-PY5.3</t>
  </si>
  <si>
    <t>Diagnóstico.</t>
  </si>
  <si>
    <t>SA-PY5.2</t>
  </si>
  <si>
    <t>Creación del Comité y Operación.</t>
  </si>
  <si>
    <t>SA-PY5.1</t>
  </si>
  <si>
    <t>SA-PY5.  Reestructuración Organizacional académica y administrativa.</t>
  </si>
  <si>
    <t>GPIE</t>
  </si>
  <si>
    <t>Gestión y apoyo al Grupo de Proyectos Institucionales  Especiales "GPIE"</t>
  </si>
  <si>
    <t>SA-PY4.1</t>
  </si>
  <si>
    <t>SA-PY4.  Creación del Grupo de Proyectos Institucionales Especiales (GPIE).</t>
  </si>
  <si>
    <t>OFICINA PLANEACION</t>
  </si>
  <si>
    <t>Software Administración Sistema de Gestión de Calidad.</t>
  </si>
  <si>
    <t>SA-PY3.8</t>
  </si>
  <si>
    <t>Actualización del Sistema de Gestión de Calidad con el Plan de Desarrollo.</t>
  </si>
  <si>
    <t>SA-PY3.7</t>
  </si>
  <si>
    <t>Afiliación y Auditoría de seguimiento de la Certificación ISO 9001:2008 NTCGP 1000:2009.</t>
  </si>
  <si>
    <t>SA-PY3.6</t>
  </si>
  <si>
    <t>Diseño de software para los programas y las políticas de Sostenibilidad de la Universidad Surcolombiana.</t>
  </si>
  <si>
    <t>SA-PY3.5</t>
  </si>
  <si>
    <t>Implementación y Certificación del Sistema de Gestión Ambiental de acuerdo al alcance definido para la vigencia</t>
  </si>
  <si>
    <t>SA-PY3.4</t>
  </si>
  <si>
    <t>OFICINA CONTROL INTERNO</t>
  </si>
  <si>
    <t>Promoción de Principios y Fortalecimiento del MECI.</t>
  </si>
  <si>
    <t>SA-PY3.3</t>
  </si>
  <si>
    <t>Implementación de programas para el sistema de Gestión Ambiental de acuerdo al alcance definido para la vigencia.</t>
  </si>
  <si>
    <t>SA-PY3.2</t>
  </si>
  <si>
    <t xml:space="preserve"> Contratación de Equipo humano para el desarrollo de las actividades Gestión Ambiental.</t>
  </si>
  <si>
    <t>SA-PY3.1</t>
  </si>
  <si>
    <t>SA-PY3.  Aseguramiento de los sistemas de Gestión de Calidad y Gestión Ambiental.</t>
  </si>
  <si>
    <t>Modernización Tecnológica.</t>
  </si>
  <si>
    <t>SA-PY2b.25</t>
  </si>
  <si>
    <t>Bicicletas Ecológicas para la movilidad estudiantíl.</t>
  </si>
  <si>
    <t>SA-PY2b.24</t>
  </si>
  <si>
    <t>Dotación Aplicación y Software para tablets Excel</t>
  </si>
  <si>
    <t>SA-PY2b.23</t>
  </si>
  <si>
    <t>Dotación Laboratorio de Gas y Equipos de Cómputo Maestría en Ingeniería de Petróleos.</t>
  </si>
  <si>
    <t>SA-PY2b.22</t>
  </si>
  <si>
    <t xml:space="preserve">
F.C.S.H.
F.SALUD
F.EDUCACION
</t>
  </si>
  <si>
    <t>Dotación Oficinas administrativas, matenimiento y adquisición elementos de cafetería.</t>
  </si>
  <si>
    <t>SA-PY2b.21</t>
  </si>
  <si>
    <t>VIC. ADTIVA.
F.SALUD</t>
  </si>
  <si>
    <t>Adquisición de equipos de seguridad para el control de ingreso a las sedes de la Universidad.</t>
  </si>
  <si>
    <t>SA-PY2b.20</t>
  </si>
  <si>
    <t>Mantenimiento de Hardware y Software.</t>
  </si>
  <si>
    <t>SA-PY2b.19</t>
  </si>
  <si>
    <t>FACECO</t>
  </si>
  <si>
    <t>Gestión de la estructura academico-administrativa y finaciera</t>
  </si>
  <si>
    <t>SA-PY2b.18</t>
  </si>
  <si>
    <t>VIC. ADTIVA.
F. SALUD
F.INGENIERIA
FACECO</t>
  </si>
  <si>
    <t>Adquisición de muebles y equipos de oficina de todas las Sedes.</t>
  </si>
  <si>
    <t>SA-PY2b.17</t>
  </si>
  <si>
    <t xml:space="preserve">Adquisición y aplicación de Software y elementos para Hardware. </t>
  </si>
  <si>
    <t>SA-PY2b.16</t>
  </si>
  <si>
    <t>Dotación bibliografía para todas las sedes.</t>
  </si>
  <si>
    <t>SA-PY2b.15</t>
  </si>
  <si>
    <t>F.SALUD
F.C.J.P.
F.EDUCACION
F.C.S.H.
F.INGENIERÍA
FACECO</t>
  </si>
  <si>
    <t>Adquisición bibliografía.</t>
  </si>
  <si>
    <t>SA-PY2b.14</t>
  </si>
  <si>
    <t>F. SALUD
F.INGENIERIA
VIC.ADTIVA.</t>
  </si>
  <si>
    <t>Dotación equipos de laboratorios.</t>
  </si>
  <si>
    <t>SA-PY2b.13</t>
  </si>
  <si>
    <t>Dotación de Aulas con recursos educativos.</t>
  </si>
  <si>
    <t>SA-PY2b.12</t>
  </si>
  <si>
    <t>Compra de tables para la excelencia académica.</t>
  </si>
  <si>
    <t>SA-PY2b.11</t>
  </si>
  <si>
    <t>Dotación de salas de Informática</t>
  </si>
  <si>
    <t>SA-PY2b.10</t>
  </si>
  <si>
    <t>F.C.J.P</t>
  </si>
  <si>
    <t>Compra de equipos de computo portátil para el Programa de Ciencia Política.</t>
  </si>
  <si>
    <t>SA-PY2b.9</t>
  </si>
  <si>
    <t>Dotación del laboratorio de T.V. de la Facultad de Ciencias Sociales y Humanas.</t>
  </si>
  <si>
    <t>SA-PY2b.8</t>
  </si>
  <si>
    <t>Mantenimiento e insumos de equipos para laboratorios de todas las Sedes.</t>
  </si>
  <si>
    <t>SA-PY2b.7</t>
  </si>
  <si>
    <t>Dotación de aulas de todas las Sedes.</t>
  </si>
  <si>
    <t>SA-PY2b.6</t>
  </si>
  <si>
    <t>Adquisición, instalación y puesta en funcionamiento de Software integrado académico, administrativo y financiero.</t>
  </si>
  <si>
    <t>SA-PY2b.5</t>
  </si>
  <si>
    <t>Dotación de laboratorio de Ciencias Básicas de la Facultad de Ciencias Exactas y Naturales.</t>
  </si>
  <si>
    <t>SA-PY2b.4</t>
  </si>
  <si>
    <t>Dotación de laboratorio de Idioma en Garzón, La Plata, Pitalito.</t>
  </si>
  <si>
    <t>SA-PY2b.3</t>
  </si>
  <si>
    <t>Dotación de laboratorio de Ciencias Básicas en Garzón, La Plata y Pitalito( 6 laboratorios)</t>
  </si>
  <si>
    <t>SA-PY2b.2</t>
  </si>
  <si>
    <t>Compra parque automotor para la realización de prácticas y actividades académicas, de investigación y proyección social (1 Buseta, 1 Van, 1 Bus)</t>
  </si>
  <si>
    <t>SA-PY2b.1</t>
  </si>
  <si>
    <t>SA-PY2.b  Desarrollo, dotación y Mantenimiento de las Sedes.</t>
  </si>
  <si>
    <t>Construcción de Archivo Central y Talleres.</t>
  </si>
  <si>
    <t>SA-PY2a.20</t>
  </si>
  <si>
    <t>F. SALUD
FACECO
F.EDUCACIÓN
F.C.J.P.
F.INGENIERÍA</t>
  </si>
  <si>
    <t>Construcción, adecuación y Mantenimiento espacios físicos de las Facultades.</t>
  </si>
  <si>
    <t>SA-PY2a.19</t>
  </si>
  <si>
    <t>Construcción de acometidas eléctricas desde la Subestación hasta tablero de distribución para los edificios de la sede Central y Salud.</t>
  </si>
  <si>
    <t>SA-PY2a.18</t>
  </si>
  <si>
    <t>Mejoramiento del Campus Universitario para la Vida académica  y adecuaciones de espacios ecológicos (sendero ecológico)</t>
  </si>
  <si>
    <t>SA-PY2a.17</t>
  </si>
  <si>
    <t>Construcción y Mantenimiento planta física de todas las Sedes.</t>
  </si>
  <si>
    <t>SA-PY2a.16</t>
  </si>
  <si>
    <t>Infraestructura de apoyo para adelantar programas de internacionalización.</t>
  </si>
  <si>
    <t>SA-PY2a.15</t>
  </si>
  <si>
    <t>Apoyo para la construcción del edificio de la Facultad de Educación.</t>
  </si>
  <si>
    <t>SA-PY2a.14</t>
  </si>
  <si>
    <t>Construcción de Maloka Estudiantíl.</t>
  </si>
  <si>
    <t>SA-PY2a.13</t>
  </si>
  <si>
    <t>Adecuaciones y mantenimiento del sistema de riego de la Granja Experimental.</t>
  </si>
  <si>
    <t>SA-PY2a.12</t>
  </si>
  <si>
    <t>Estudios y diseños de obras civiles varias.</t>
  </si>
  <si>
    <t>SA-PY2a.11</t>
  </si>
  <si>
    <t>Obras básicas y adecuaciones Trapichito II.</t>
  </si>
  <si>
    <t>SA-PY2a.10</t>
  </si>
  <si>
    <t>Adecuaciones en restaurantes de las sedes de Garzón, La Plata y Pitalito.</t>
  </si>
  <si>
    <t>SA-PY2a.9</t>
  </si>
  <si>
    <t>Instalación de cubierta metálica en polideportivos en las sedes de la Plata y Pitalito.</t>
  </si>
  <si>
    <t>SA-PY2a.8</t>
  </si>
  <si>
    <t>Adecuación de Laboratorio de Idiomas sede Garzón, La Plata y Pitalito.</t>
  </si>
  <si>
    <t>SA-PY2a.7</t>
  </si>
  <si>
    <t>Construcción de laboratorio de Ciencias Básicas en las Sedes de Garzón, La Plata y Pitalito.</t>
  </si>
  <si>
    <t>SA-PY2a.6</t>
  </si>
  <si>
    <t>Construcción y adecuaciones del laboratorio de Ciencias Exactas y Naturales sede Central.</t>
  </si>
  <si>
    <t>SA-PY2a.5</t>
  </si>
  <si>
    <t>Adecuaciones y mantenimientos varios en las instalaciones de todas las Sedes.</t>
  </si>
  <si>
    <t>SA-PY2a.4</t>
  </si>
  <si>
    <t>Instalación de puente metálico y cubierta polideportivo sede Garzón.</t>
  </si>
  <si>
    <t>SA-PY2a.3</t>
  </si>
  <si>
    <t>Construcción de dos salas múltiples sede de Pitalito.</t>
  </si>
  <si>
    <t>SA-PY2a.2</t>
  </si>
  <si>
    <t>Instalación y dotación de sistemas acústicos, red de sonido, luminotecnia de escenario, silletería y sistema de aire acondicionado Auditorio del Bloque de Economía de la USCO.</t>
  </si>
  <si>
    <t>SA-PY2a.1</t>
  </si>
  <si>
    <t>SA-PY2.a  Construcción y mantenimiento de las Sedes.</t>
  </si>
  <si>
    <t>SECRETARIA GENERAL</t>
  </si>
  <si>
    <t>Elaboración y actualización de los siguientes documentos:  Estatuto General de la Universidad; Estatuto Estudiantíl; Estatuto Docente; Estatuto Personal Administrativo; Estatuto de Contratación.</t>
  </si>
  <si>
    <t>SA-PY1.2</t>
  </si>
  <si>
    <t>Revisión y análisis de la normatividad de la Universidad  con el propósito de actualizarla de acuerdo a los lineamientos legales que rigen la Educación Superior vigente.</t>
  </si>
  <si>
    <t>SA-PY1.1</t>
  </si>
  <si>
    <t>SA-PY1.   Revisión, reforma y actualización de la Plataforma Jurídico - Normativa institucional.</t>
  </si>
  <si>
    <t>ADMINISTRATIVO</t>
  </si>
  <si>
    <t>TOTAL SUBSISTEMA BIENESTAR UNIVERSITARIO</t>
  </si>
  <si>
    <t>G.I.BIENESTAR</t>
  </si>
  <si>
    <t>Permanencia y graduación estudiantil.</t>
  </si>
  <si>
    <t>SB-PY6.1</t>
  </si>
  <si>
    <t>SB-PY6.  Promoción de la Permanencia y Graduación estudiantil en la Usco.</t>
  </si>
  <si>
    <t>Vinculación de estudiantes en procesos institucionales.</t>
  </si>
  <si>
    <t>SB-PY5.3</t>
  </si>
  <si>
    <t>Atención a población estudianil en situación de extrema vulnerabilidad.</t>
  </si>
  <si>
    <t>SB-PY5.2</t>
  </si>
  <si>
    <t>Prestación de servicio de restaurante a los estudiantes.</t>
  </si>
  <si>
    <t>SB-PY5.1</t>
  </si>
  <si>
    <t>SB-PY5.  Desarrollo Socio-Económico con responsabilidad y compromiso.</t>
  </si>
  <si>
    <t>G.I.BIENESTAR
FACECO</t>
  </si>
  <si>
    <t>Eventos de clima organizacional y convivencia.</t>
  </si>
  <si>
    <t>SB-PY4.1</t>
  </si>
  <si>
    <t>SB-PY4. Desarrollo Humano con responsabilidad y compromiso.</t>
  </si>
  <si>
    <t>F.SALUD
F.INGENIERIA
FACECO
F.C.SOCIALES
G.I.BIENESTAR</t>
  </si>
  <si>
    <t>Actividades Culturales de todas las Sedes.</t>
  </si>
  <si>
    <t>SB-PY3.1</t>
  </si>
  <si>
    <t>SB-PY3. Cultura con responsabilidad y compromiso.</t>
  </si>
  <si>
    <t>F.INGENIERIA
FACECO
G.I.BIENESTAR</t>
  </si>
  <si>
    <t>Actividades deportivas de todas las Sedes.</t>
  </si>
  <si>
    <t>SB-PY2.1</t>
  </si>
  <si>
    <t>SB-PY2.  Recreación y Deportes con responsabilidad y compromiso.</t>
  </si>
  <si>
    <t>Cátedras Alternativas para disminuír el consumo de Drogas.</t>
  </si>
  <si>
    <t>SB-PY1.9</t>
  </si>
  <si>
    <t>Estudio y prefactibilidad IPS Universitaria.</t>
  </si>
  <si>
    <t>SB-PY1.8</t>
  </si>
  <si>
    <t>F. SALUD</t>
  </si>
  <si>
    <t>USCO saludable.</t>
  </si>
  <si>
    <t>SB-PY1.7</t>
  </si>
  <si>
    <t>Atención apersonas en drogadicción, prostitución y E.T.V.</t>
  </si>
  <si>
    <t>SB-PY1.6</t>
  </si>
  <si>
    <t>Programa de sensibilización e información en derechos sexuales y reproductivos.</t>
  </si>
  <si>
    <t>SB-PY1.5</t>
  </si>
  <si>
    <t>F.SALUD
F.EDUCACIÓN
F.INGENIERÍA</t>
  </si>
  <si>
    <t>Apoyo a actividades de clima organizacional, docentes, estudiantes y administrativos.</t>
  </si>
  <si>
    <t>SB-PY1.4</t>
  </si>
  <si>
    <t>Prestación servicio Psicológico a estudiantes.</t>
  </si>
  <si>
    <t>SB-PY1.3</t>
  </si>
  <si>
    <t>Prestación servicio odontólogico a estudiantes.</t>
  </si>
  <si>
    <t>SB-PY1.2</t>
  </si>
  <si>
    <t>Prestación servicio médico a estudiantes.</t>
  </si>
  <si>
    <t>SB-PY1.1</t>
  </si>
  <si>
    <t>SB-PY1.   Universidad Saludable.</t>
  </si>
  <si>
    <t>TOTAL SUBSISTEMA DE PROYECCION SOCIAL</t>
  </si>
  <si>
    <t xml:space="preserve">
F. SALUD
F.INGENIERIA
F.EDUCACION</t>
  </si>
  <si>
    <t>Elaboración de Prospectos, revistas e Instructivos-publicidad.</t>
  </si>
  <si>
    <t>SP-PY8.3</t>
  </si>
  <si>
    <t>VIPS</t>
  </si>
  <si>
    <t>Otros medios de divulgación y comunicación universitaria.</t>
  </si>
  <si>
    <t>SP-PY8.2</t>
  </si>
  <si>
    <t>Emisora  Institucional Surcolombiana.</t>
  </si>
  <si>
    <t>SP-PY8.1</t>
  </si>
  <si>
    <t>SP-PY8. Fortalecimiento del sistema de comunicación e información institucional.</t>
  </si>
  <si>
    <t>Gestión de propuestas de integración de la Educación Superior y la Media.</t>
  </si>
  <si>
    <t>SP-PY7.1</t>
  </si>
  <si>
    <t>SP-PY7.  Articulación de la Educación Superior con la Educación formal, el trabajo y el desarrollo humano.</t>
  </si>
  <si>
    <t>Gestión de Propuestas de cooperación en la región.</t>
  </si>
  <si>
    <t>SP-PY6.4</t>
  </si>
  <si>
    <t>Apoyo a la gestión para la creación del Instituto de Estudios Surcolombianos.</t>
  </si>
  <si>
    <t>SP-PY6.3</t>
  </si>
  <si>
    <t>Creación y puesta en funcionamiento  del Observatorio de medios sobre políticas públicas.</t>
  </si>
  <si>
    <t>SP-PY6.2</t>
  </si>
  <si>
    <t>Talleres intersectoriales para acuerdos y compromisos con actores sociales.</t>
  </si>
  <si>
    <t>SP-PY6.1</t>
  </si>
  <si>
    <t>SP-PY6. Estructuración y Desarrollo de la Agenda Social Regional.</t>
  </si>
  <si>
    <t>Ejecución de proyectos y eventos alianza UEES.</t>
  </si>
  <si>
    <t>SP-PY5.2</t>
  </si>
  <si>
    <t>Apoyo para la Gestion de proyectos UEES.</t>
  </si>
  <si>
    <t>SP-PY5.1</t>
  </si>
  <si>
    <t>SP-PY5.  Consolidación de la Alianza Estratégica Estado-Universidad-Empresa-Ciudadanía.</t>
  </si>
  <si>
    <t>Ejecución de proyectos de emprendimiento e innovación.</t>
  </si>
  <si>
    <t>SP-PY4.4</t>
  </si>
  <si>
    <t>Apoyo en la gestión de proyectos de emprendimiento e innovación.</t>
  </si>
  <si>
    <t>SP-PY4.3</t>
  </si>
  <si>
    <t>Dotación de Unidad de Emprendimiento.</t>
  </si>
  <si>
    <t>SP-PY4.2</t>
  </si>
  <si>
    <t>F.C.S.H.</t>
  </si>
  <si>
    <t>Dotación y Funcionamiento de la Unidad de Servicio de  Atención Psicológica ( USAP).</t>
  </si>
  <si>
    <t>SP-PY4.1</t>
  </si>
  <si>
    <t>SP-PY4.  Estructuración y desarrollo Unidades de Atención Especializada y de Emprendimiento e Innovación Institucional.</t>
  </si>
  <si>
    <t>Gestión tecnológica como apoyo a la proyección social.</t>
  </si>
  <si>
    <t>SP-PY3.12</t>
  </si>
  <si>
    <t>Gestión y ejecución de Convenios interinstitucionales.</t>
  </si>
  <si>
    <t>SP-PY3.11</t>
  </si>
  <si>
    <t>F. SALUD
F.EDUCACION
FACECO</t>
  </si>
  <si>
    <t>Apoyar y promover la suscripción de convenios interinstitucionales. (propuestas y licitaciones).</t>
  </si>
  <si>
    <t>SP-PY3.10</t>
  </si>
  <si>
    <t>F.SALUD
F.EDUCACION
FACECO
F.INGENIERIA</t>
  </si>
  <si>
    <t>Apoyo a la gestión académico-administrativa  de proyección social.</t>
  </si>
  <si>
    <t>SP-PY3.9</t>
  </si>
  <si>
    <t>Apoyo y ejecución de la oferta de educación continuada.</t>
  </si>
  <si>
    <t>SP-PY3.8</t>
  </si>
  <si>
    <t>Apoyo logístico a proyectos  de Responsabilidad Social Universitaria.</t>
  </si>
  <si>
    <t>SP-PY3.7</t>
  </si>
  <si>
    <t>Fortalecimiento y promoción de la identidad institucional en la comunidad docente, estudiantil y administrativa.</t>
  </si>
  <si>
    <t>SP-PY3.6</t>
  </si>
  <si>
    <t>Ejecución proyectos menor cuantía(p.social)</t>
  </si>
  <si>
    <t>SP-PY3.5</t>
  </si>
  <si>
    <t>Consolidación y fortalecimiento de grupos de proyección social.</t>
  </si>
  <si>
    <t>SP-PY3.4</t>
  </si>
  <si>
    <t>F.EDUCACION</t>
  </si>
  <si>
    <t>Apoyo para formación de grupos de Proyección Social integrado con semilleros.</t>
  </si>
  <si>
    <t>SP-PY3.3</t>
  </si>
  <si>
    <t>V.I.P.S.</t>
  </si>
  <si>
    <t>Ejecución de macroproyectos de P. Social.</t>
  </si>
  <si>
    <t>SP-PY3.2</t>
  </si>
  <si>
    <t>F.INGENIERIA
F.C.J.P.</t>
  </si>
  <si>
    <t>Apoyo a grupos de Proyección Social.</t>
  </si>
  <si>
    <t>SP-PY3.1</t>
  </si>
  <si>
    <t>SP-PY3. Reformulación y fortalecimiento de las modalidades y formas de Proyección Social</t>
  </si>
  <si>
    <t>Acciones para la vinculacion de gremios, instituciones, líderes comunitarios a proyectos institucionales.</t>
  </si>
  <si>
    <t>SP-PY2.3</t>
  </si>
  <si>
    <t>Apoyo y gestión en acciones para la regionalización.</t>
  </si>
  <si>
    <t>SP-PY2.2</t>
  </si>
  <si>
    <t>Movilidad de docentes, estudiantes y personal administrativo para fortalecimiento de las Sedes.</t>
  </si>
  <si>
    <t>SP-PY2.1</t>
  </si>
  <si>
    <t>SP-PY2.  Regionalización de la USCO</t>
  </si>
  <si>
    <t>F.SALUD</t>
  </si>
  <si>
    <t>Apoyo a la internacionalización de la investigación y la proyección social.</t>
  </si>
  <si>
    <t>SP-PY1.6</t>
  </si>
  <si>
    <t>F.SALUD
F.EDUCACION</t>
  </si>
  <si>
    <t>Apoyo económico  para movilización y gastos de viaje fortalecimiento de los convenios.</t>
  </si>
  <si>
    <t>SP-PY1.5</t>
  </si>
  <si>
    <t>VIPS
F. SALUD
F.C.J.P</t>
  </si>
  <si>
    <t>Apoyo a la movilidad académica de Docentes, Estudiantes, administrativos  y docentes  y expertos invitados.</t>
  </si>
  <si>
    <t>SP-PY1.4</t>
  </si>
  <si>
    <t>Internacionalización curricular (estancias)</t>
  </si>
  <si>
    <t>SP-PY1.3</t>
  </si>
  <si>
    <t>Gestión de convenios nacionales e internacionales.</t>
  </si>
  <si>
    <t>SP-PY1.2</t>
  </si>
  <si>
    <t>F. SALUD
FACECO</t>
  </si>
  <si>
    <t>Apoyo  procesos y fortalecimiento de alianzas academico-administrativas entre la Universidad y los organismos públicos y privados de la sociedad.</t>
  </si>
  <si>
    <t>SP-PY1.1</t>
  </si>
  <si>
    <t>SP-PY1.  Internacionalización Académica Curricular y Administrativa.</t>
  </si>
  <si>
    <t>PROYECCION SOCIAL</t>
  </si>
  <si>
    <t>TOTAL SUBSISTEMA: DE INVESTIGACIÓN</t>
  </si>
  <si>
    <t>F.C.J.P.</t>
  </si>
  <si>
    <t>Fortalecimiento, consolidación y mejoramiento de la calidad editorial de la Revista Jurídica PIELAGUS.</t>
  </si>
  <si>
    <t>SI-PY9.6</t>
  </si>
  <si>
    <t>Gestión para el diseño, diagramación y publicación de revistas institucionales y libros.</t>
  </si>
  <si>
    <t>SI-PY9.5</t>
  </si>
  <si>
    <t>V.I.P.S.
FACECO</t>
  </si>
  <si>
    <t>evaluación, diseño, diagramación, impresión  y publicación de libros en las diferentes modalidades.</t>
  </si>
  <si>
    <t>SI-PY9.4</t>
  </si>
  <si>
    <t>Curso - talleres en preparacion de libros de investigacion y articulos para revistas indexadas.</t>
  </si>
  <si>
    <t>SI-PY9.3</t>
  </si>
  <si>
    <t>evaluación de articulos, diseño, diagramación, impresión  y publicación de revistas institucionales.</t>
  </si>
  <si>
    <t>SI-PY9.2</t>
  </si>
  <si>
    <t>F.INGENIERIA</t>
  </si>
  <si>
    <t>Publicación de Artículos en Revistas.</t>
  </si>
  <si>
    <t>SI-PY9.1</t>
  </si>
  <si>
    <t>SI-PY9.  Articulación y fortalecimiento de las publicaciones Científicas  y Académicas.</t>
  </si>
  <si>
    <t>Fortalecimiento y creación de Centros de Investigación.</t>
  </si>
  <si>
    <t>SI-PY8.1</t>
  </si>
  <si>
    <t>SI-PY8.  Creación y Fortalecimiento de Centros, Institutos de investigación, desarrollo y vigilancia Tecnológica e Innovación.</t>
  </si>
  <si>
    <t>Apoyo a los procesos de archivo físico y digitalización de archivos documentales.</t>
  </si>
  <si>
    <t>SI-PY7.2</t>
  </si>
  <si>
    <t>VIPS
F.C.J.P.</t>
  </si>
  <si>
    <t>Adquisición o renovación bases de datos especializadas.</t>
  </si>
  <si>
    <t>SI-PY7.1</t>
  </si>
  <si>
    <t>SI-PY7.  Evaluación, dotación y consolidación de los Centros de Documentación, archivística y bases de datos.</t>
  </si>
  <si>
    <t>Gestión y apoyo para el desarrollo del aplicativo en gestión.</t>
  </si>
  <si>
    <t>SI-PY6.2</t>
  </si>
  <si>
    <t>Desarrollo aplicativo para gestión en investigación.</t>
  </si>
  <si>
    <t>SI-PY6.1</t>
  </si>
  <si>
    <t>SI-PY6.  Articulación del Sistema Integrado de Información (TICS).</t>
  </si>
  <si>
    <t>Convenios cofinanciados.</t>
  </si>
  <si>
    <t>SI-PY5.3</t>
  </si>
  <si>
    <t>Financiar la ejecución de proyectos de investigación.</t>
  </si>
  <si>
    <t>SI-PY5.2</t>
  </si>
  <si>
    <t>Apoyo  realización y participación eventos académicos a docentes y estudiantes de grupos de investigación.</t>
  </si>
  <si>
    <t>SI-PY5.1</t>
  </si>
  <si>
    <t>SI-PY5. Calidad Académica y gestión de Investigación.</t>
  </si>
  <si>
    <t>Convenios cofinanciados</t>
  </si>
  <si>
    <t>SI-PY4.5</t>
  </si>
  <si>
    <t>Apoyo para los proyectos formulados por los estudiantes y egresados.</t>
  </si>
  <si>
    <t>SI-PY4.4</t>
  </si>
  <si>
    <t>1 APOYO</t>
  </si>
  <si>
    <t>11 APOYOS</t>
  </si>
  <si>
    <t>VIPS            F.EDUCACION
F.INGENIERIA</t>
  </si>
  <si>
    <t>Apoyo a semilleros y grupos de Investigación</t>
  </si>
  <si>
    <t>SI-PY4.3</t>
  </si>
  <si>
    <t>Gestión y apoyo a la ejecución de proyectos de investigación.</t>
  </si>
  <si>
    <t>SI-PY4.2</t>
  </si>
  <si>
    <t>74 PTOYECTOS</t>
  </si>
  <si>
    <t>450 PROYECTOS</t>
  </si>
  <si>
    <t>49 PROYECTOS</t>
  </si>
  <si>
    <t>Financiar la ejecución de proyectos de investigación .</t>
  </si>
  <si>
    <t>SI-PY4.1</t>
  </si>
  <si>
    <t>SI-PY4.  Calidad Académica y ejecución de Investigación.</t>
  </si>
  <si>
    <t>Financiar la vinculación de jóvenes investigadores adscritos a grupos de investigación.</t>
  </si>
  <si>
    <t>SI-PY3.4</t>
  </si>
  <si>
    <t>6 PERSONAS</t>
  </si>
  <si>
    <t>124 PERSONAS</t>
  </si>
  <si>
    <t>4 PERSONAS</t>
  </si>
  <si>
    <t>Apoyo a las actividades de fortalecimiento de los semilleros de investigación.</t>
  </si>
  <si>
    <t>SI-PY3.3</t>
  </si>
  <si>
    <t>42 PROYECTOS</t>
  </si>
  <si>
    <t>330 PROYECTOS</t>
  </si>
  <si>
    <t>30 PROYECTOS</t>
  </si>
  <si>
    <t>Proyectos de investigación ejecutados por Semilleros de investigación.</t>
  </si>
  <si>
    <t>SI-PY3.2</t>
  </si>
  <si>
    <t>148 PROYECTOS</t>
  </si>
  <si>
    <t>2540 PROYECTOS</t>
  </si>
  <si>
    <t>80 PROYECTOS</t>
  </si>
  <si>
    <t>Proyectos de investigación en la modalidad de trabajos de grado.</t>
  </si>
  <si>
    <t>SI-PY3.1</t>
  </si>
  <si>
    <t>SI-PY3. Calidad Académica y formación a través de la Investigación</t>
  </si>
  <si>
    <t>40 CAPACITACIONES</t>
  </si>
  <si>
    <t>220 CAPACITACIONES</t>
  </si>
  <si>
    <t>20 CAPACITACIONES</t>
  </si>
  <si>
    <t>Capacitación y participación en eventos, investigadores USCO en proceso de formación.</t>
  </si>
  <si>
    <t>SI-PY2.6</t>
  </si>
  <si>
    <t>4 EVENTOS</t>
  </si>
  <si>
    <t>43 EVENTOS</t>
  </si>
  <si>
    <t>3 EVENTOS</t>
  </si>
  <si>
    <t>VIPS
F.C.SOCIALES</t>
  </si>
  <si>
    <t>Desarrollo de eventos académicos.</t>
  </si>
  <si>
    <t>SI-PY2.5</t>
  </si>
  <si>
    <t>2 PROYECTO</t>
  </si>
  <si>
    <t>51 PROYECTO</t>
  </si>
  <si>
    <t>1 PROYECTO</t>
  </si>
  <si>
    <t>Apoyo en la Formulación y ejecución de proyectos articulados GRUPOS - PROGRAMA ONDAS.</t>
  </si>
  <si>
    <t>SI-PY2.4</t>
  </si>
  <si>
    <t>94 SESIONES</t>
  </si>
  <si>
    <t>460 SESIONES</t>
  </si>
  <si>
    <t>60 SESIONES</t>
  </si>
  <si>
    <t>Sensibilización y acciones conjuntas en proyectos de investigación ONDAS.</t>
  </si>
  <si>
    <t>SI-PY2.3</t>
  </si>
  <si>
    <t>2 EVENTOS</t>
  </si>
  <si>
    <t>31 EVENTOS</t>
  </si>
  <si>
    <t>1 EVENTO</t>
  </si>
  <si>
    <t>Gestión y apoyo para la calidad académica y formación en investigación .</t>
  </si>
  <si>
    <t>SI-PY2.2</t>
  </si>
  <si>
    <t>4 TALLERES</t>
  </si>
  <si>
    <t>42 TALLERES</t>
  </si>
  <si>
    <t>2 TALLERES</t>
  </si>
  <si>
    <t>Talleres de evaluación y reformulación de microcurrículos.</t>
  </si>
  <si>
    <t>SI-PY2.1</t>
  </si>
  <si>
    <t>SI-PY2.  Calidad Académica y formación en Investigación.</t>
  </si>
  <si>
    <t>7 TESIS</t>
  </si>
  <si>
    <t>55 TESIS</t>
  </si>
  <si>
    <t>5 TESIS</t>
  </si>
  <si>
    <t xml:space="preserve">Finalización de tesis de maestrias, doctorados,postdoctorados;  pasantías y estancias internacionales para investigación. </t>
  </si>
  <si>
    <t>SI-PY1.3</t>
  </si>
  <si>
    <t>6 LICENCIAS</t>
  </si>
  <si>
    <t>33 LICENCIAS</t>
  </si>
  <si>
    <t>3 LICENCIAS</t>
  </si>
  <si>
    <t>Adquisición y renovación licenciamientos  software especializado para investigación.</t>
  </si>
  <si>
    <t>SI-PY1.2</t>
  </si>
  <si>
    <t>9 EQUIPOS</t>
  </si>
  <si>
    <t>46 EQUIPOS</t>
  </si>
  <si>
    <t>6 EQUIPOS</t>
  </si>
  <si>
    <t>Adquisición, mantenimiento y repotenciación de equipos especializados para investigación.</t>
  </si>
  <si>
    <t>SI-PY1.1</t>
  </si>
  <si>
    <t>SI-PY1.  Fortalecimiento de las capacidades de investigación, desarrollo e innovación.</t>
  </si>
  <si>
    <t>INVESTIGACION</t>
  </si>
  <si>
    <t>TOTAL SUBSISTEMA DE FORMACION</t>
  </si>
  <si>
    <t>V.ACADEMICA
FACECO</t>
  </si>
  <si>
    <t>Seguimiento a egresados.</t>
  </si>
  <si>
    <t>SF-PY7.4</t>
  </si>
  <si>
    <t>V.ACADEMICA</t>
  </si>
  <si>
    <t>Reestructuración de la infraestructura informática y tecnológica.</t>
  </si>
  <si>
    <t>SF-PY7.3</t>
  </si>
  <si>
    <t>Encuentros de egresados por programas.</t>
  </si>
  <si>
    <t>SF-PY7.2</t>
  </si>
  <si>
    <t>10 EVENTOS</t>
  </si>
  <si>
    <t>70 EVENTOS</t>
  </si>
  <si>
    <t>Reglamentación de la politica de egresados.</t>
  </si>
  <si>
    <t>SF-PY7.1</t>
  </si>
  <si>
    <t>SF-PY7. Fortalecimiento de los Vínculos Universidad - Egresados.</t>
  </si>
  <si>
    <t>Ampliación de número de becas por Maestrías  para egresados de la Universidad.</t>
  </si>
  <si>
    <t>SF-PY6.3</t>
  </si>
  <si>
    <t>Acompañamiento profesoral a profesores becarios con fines de relevo generacional.</t>
  </si>
  <si>
    <t>SF-PY6.2</t>
  </si>
  <si>
    <t>25 GRADUADOS</t>
  </si>
  <si>
    <t>40 GRADUADOS</t>
  </si>
  <si>
    <t>2 GRADUADOS</t>
  </si>
  <si>
    <t xml:space="preserve">Convocatoria para selección de Profesores Becarios. </t>
  </si>
  <si>
    <t>SF-PY6.1</t>
  </si>
  <si>
    <t>SF-PY6. Relevo Generacional con Excelencia Académica.</t>
  </si>
  <si>
    <r>
      <t>Revisión y Ajustes al documento de autoevaluación Institucional en consonancia con los proyectos del Plan de Desarrollo 2015-2024</t>
    </r>
    <r>
      <rPr>
        <sz val="11"/>
        <color indexed="10"/>
        <rFont val="Arial Narrow"/>
        <family val="2"/>
      </rPr>
      <t xml:space="preserve">. </t>
    </r>
  </si>
  <si>
    <t>SF-PY5.3</t>
  </si>
  <si>
    <t>Visitas y encuentros para apoyo con universidades del país  con Acreditación institucional</t>
  </si>
  <si>
    <t>SF-PY5.2</t>
  </si>
  <si>
    <t>30 UNIDADES</t>
  </si>
  <si>
    <t>0 UNIDADES</t>
  </si>
  <si>
    <t>Creación y funcionamiento de la Unidad de Apoyo a los Procesos de Autoevaluación  y Acreditación Institucional  y de Programas -UNAPAAC</t>
  </si>
  <si>
    <t>SF-PY5.1</t>
  </si>
  <si>
    <t>SF-PY5.  Acreditación de Alta Calidad de la Universidad.</t>
  </si>
  <si>
    <t>22 PROG.POSTGRAD.</t>
  </si>
  <si>
    <t>26 PROG.POSTGRAD.</t>
  </si>
  <si>
    <t>V.ACADEMICA
F.C.SOCIALES</t>
  </si>
  <si>
    <t>Procesos de acreditación y renovación de acreditación de progamas de pregrado y postgrado.</t>
  </si>
  <si>
    <t>SF-PY4.2</t>
  </si>
  <si>
    <t>27 PROG.PREGRAD.</t>
  </si>
  <si>
    <t>31 PROG.PREGRAD.</t>
  </si>
  <si>
    <t>27 PROG.PREGRAD.
0 PROG.POSTGRAD.</t>
  </si>
  <si>
    <t>V.ACADEMICA
F.C.J.P.
F.EDUCACION
FACECO</t>
  </si>
  <si>
    <t>Promoción de la cultura de  la autoevaluacion.</t>
  </si>
  <si>
    <t>SF-PY4.1</t>
  </si>
  <si>
    <t>SF-PY4.  Autoevalución y Acreditación de Programas Académicos de Pregrado y Postgrado.</t>
  </si>
  <si>
    <t>Cualificación docente a partir de programa de Becas en las Maestrías y Doctorados Propios.</t>
  </si>
  <si>
    <t>SF-PY3.5</t>
  </si>
  <si>
    <t>Internacionacionalización del curriculo.</t>
  </si>
  <si>
    <t>SF-PY3.4</t>
  </si>
  <si>
    <t>Capacitaciones especÍficas por áreas del conocimiento.</t>
  </si>
  <si>
    <t>SF-PY3.3</t>
  </si>
  <si>
    <t>Programa de Formación Continua dirigido a  docentes.</t>
  </si>
  <si>
    <t>SF-PY3.2</t>
  </si>
  <si>
    <t>PROGRAMAS:
39 PROF. DOCT.  189 PROF. MAE.
100 PROFES. CAP.EST.PEDAGOGICAS.</t>
  </si>
  <si>
    <t>PROGRAMAS:
49 PROF. DOCT.  198 PROF.MAEST.
100 PROFES. CAP.EST.PEDAGOGICAS.</t>
  </si>
  <si>
    <t>PROGRAMAS:
37 PROF. DOCTORADO 
189 PROF. MAESTRIA
100 PROFESORES CAP.EST.PEDAGOGICAS.</t>
  </si>
  <si>
    <t>V.ACADEMICA F.EDUCACION
FACECO
F.INGENIERIA
F.C.J.P.</t>
  </si>
  <si>
    <t>Capacitación individual docente.</t>
  </si>
  <si>
    <t>SF-PY3.1</t>
  </si>
  <si>
    <t>SF-PY3. Desarrollo Profesoral Permanente en lo Pedagógico, Disciplinar y Profesional.</t>
  </si>
  <si>
    <t>Desarrollo de doctorados.</t>
  </si>
  <si>
    <t>SF-PY2.7</t>
  </si>
  <si>
    <t>Revisión y actualización de los planes de estudio de pregrado.</t>
  </si>
  <si>
    <t>SF-PY2.6</t>
  </si>
  <si>
    <t>Estudio del estado de la oferta académica a nivel de pregrado y postgrado</t>
  </si>
  <si>
    <t>SF-PY2.5</t>
  </si>
  <si>
    <t>Diseño de  nuevos proyectos de postgrado: dos proyectos de Maestría y un  proyecto de Doctorado.</t>
  </si>
  <si>
    <t>SF-PY2.4</t>
  </si>
  <si>
    <t>Reglamentación de la estructura de la Escuela de Postgrados.</t>
  </si>
  <si>
    <t>SF-PY2.3</t>
  </si>
  <si>
    <t>Diseño de nuevos proyectos de pregrado mínimo uno en la sede de Neiva; Uno en Pitalito.</t>
  </si>
  <si>
    <t>SF-PY2.2</t>
  </si>
  <si>
    <t>PROGRAMAS:
32 PREGRADO
12 MAESTRIAS
6 DOCTORADOS</t>
  </si>
  <si>
    <t>PROGRAMAS:
27 PREGRADO
8  MAESTRIAS
2 DOCTORADOS</t>
  </si>
  <si>
    <t>F.EDUCACION
FACECO
F.SALUD</t>
  </si>
  <si>
    <t>Apoyo a la realización de estudios y diseños para la creación de programas de pregrado y postgrado.</t>
  </si>
  <si>
    <t>SF-PY2.1</t>
  </si>
  <si>
    <t>SF-PY2. Creación de nueva Oferta Académica en las Sedes.</t>
  </si>
  <si>
    <t>Promoción de la imagen corporativa institucional, portafolio de servicios-oferta académica.</t>
  </si>
  <si>
    <t>SF-PY1.6</t>
  </si>
  <si>
    <t>Fomento de la pertenencia institucional a través de la realización de cátedras libres y alternas, eventos deportivos, culturales, recreativos dirigidos a estudiantes, profesores y egresados que desde la inclusión promuevan la identidad surcolombiana.</t>
  </si>
  <si>
    <t>SF-PY1.5</t>
  </si>
  <si>
    <t>Estrategias divulgativas de la Misión, La Visión, el Proyecto Educativo Institucional PEU.</t>
  </si>
  <si>
    <t>SF-PY1.4</t>
  </si>
  <si>
    <t>Reforma a cursos obligatorios de núcleo institucional (Comunicación Linguistica, Constitución, Medio Ambiente, Ética,  y otros de competencias genéricas).</t>
  </si>
  <si>
    <t>SF-PY1.3</t>
  </si>
  <si>
    <t>Inducción y reinducción anual a profesores, directivos y administrativos,  para promover el conocimiento y apropiación de la teleología institucional.</t>
  </si>
  <si>
    <t>SF-PY1.2</t>
  </si>
  <si>
    <t>3.450 PERSONAS</t>
  </si>
  <si>
    <t>40.009 PERSONAS</t>
  </si>
  <si>
    <t>1.150 PERSONAS</t>
  </si>
  <si>
    <t>Inducción estudiantes nuevos, para promover el conocimiento y apropiación de la teleología y el fomento a la permanencia estudiantil.</t>
  </si>
  <si>
    <t>SF-PY1.1</t>
  </si>
  <si>
    <t>SF-PY1. Identidad con la Teleología Institucional.</t>
  </si>
  <si>
    <t>FORMACION</t>
  </si>
  <si>
    <t>EXCED. FAC.</t>
  </si>
  <si>
    <t>DONACION CPIP</t>
  </si>
  <si>
    <t>RECURSOS DOCTORADOS</t>
  </si>
  <si>
    <t>FTO. BTAR.</t>
  </si>
  <si>
    <t>RECURSOS PROPIOS</t>
  </si>
  <si>
    <t>IVA</t>
  </si>
  <si>
    <t>CONVENIOS</t>
  </si>
  <si>
    <t>EST. PITALITO</t>
  </si>
  <si>
    <t>EST. LA PLATA</t>
  </si>
  <si>
    <t>EST. GARZÓN</t>
  </si>
  <si>
    <t>EST.  NEIVA</t>
  </si>
  <si>
    <t>EST.DPTO.</t>
  </si>
  <si>
    <t>APORTE DPTO. LEY 30 DEL 92</t>
  </si>
  <si>
    <t>NACIÓN</t>
  </si>
  <si>
    <t>R.PROPIOS RENDIMIENTOS CREE</t>
  </si>
  <si>
    <t>R. NACION CREE</t>
  </si>
  <si>
    <t>EXC. USCO-REEMPLAZO EJEC. ESTAMPILLA</t>
  </si>
  <si>
    <t>ESTAMPILLA UNIVERSIDAD LEY 1697/13</t>
  </si>
  <si>
    <t>R.NACION 2% FOMENTO EDUCACION</t>
  </si>
  <si>
    <t>TOTAL</t>
  </si>
  <si>
    <t>%</t>
  </si>
  <si>
    <t xml:space="preserve">EXCEDENTES  USCO </t>
  </si>
  <si>
    <t>META DE PRODUCTO 2015</t>
  </si>
  <si>
    <t>META DE RESULTADO  PI</t>
  </si>
  <si>
    <t>LINEA BASE</t>
  </si>
  <si>
    <t>SALDO</t>
  </si>
  <si>
    <t>RECURSOS EJECUTADOS</t>
  </si>
  <si>
    <t>RECURSOS ASIGNADOS P.I
2015</t>
  </si>
  <si>
    <t>RECURSOS POR EJECUTAR</t>
  </si>
  <si>
    <t xml:space="preserve">RECURSOS EJECUTADOS </t>
  </si>
  <si>
    <t>RECURSOS ASIGNADOS</t>
  </si>
  <si>
    <t>RESPONSABLE</t>
  </si>
  <si>
    <t>RUBRO</t>
  </si>
  <si>
    <t>ACCIONES</t>
  </si>
  <si>
    <t>SIGLA</t>
  </si>
  <si>
    <t>PROYECTO</t>
  </si>
  <si>
    <t>SUBSISTEMA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</si>
  <si>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</si>
  <si>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</si>
  <si>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CDP</t>
  </si>
  <si>
    <t>FUENTES DE FINANCIACION</t>
  </si>
  <si>
    <t>PLAN DE ACCIÓN 2015</t>
  </si>
  <si>
    <t>EJECUCIÓN EN CDP</t>
  </si>
  <si>
    <t>$</t>
  </si>
  <si>
    <t>SALDOS POR EJECUTAR EN CDP</t>
  </si>
  <si>
    <t>EJECUCIÓN EN RP</t>
  </si>
  <si>
    <t xml:space="preserve">SALDOS POR EJECUTAR </t>
  </si>
  <si>
    <t xml:space="preserve"> SUBSISTEMA DE FORMACION</t>
  </si>
  <si>
    <t xml:space="preserve"> SUBSISTEMA: DE INVESTIGACIÓN</t>
  </si>
  <si>
    <t xml:space="preserve"> SUBSISTEMA DE PROYECCION SOCIAL</t>
  </si>
  <si>
    <t xml:space="preserve"> SUBSISTEMA BIENESTAR UNIVERSITARIO</t>
  </si>
  <si>
    <t xml:space="preserve"> SUBSISTEMA ADMINISTRATIVO</t>
  </si>
  <si>
    <t>COMPARATIVO DE EJECUCION ACUMULADA POR SUBSISTEMA</t>
  </si>
  <si>
    <t>JUNIO</t>
  </si>
  <si>
    <t>JULIO</t>
  </si>
  <si>
    <t>DIFERENCIA</t>
  </si>
  <si>
    <t>MARZO</t>
  </si>
  <si>
    <t>ABRIL</t>
  </si>
  <si>
    <t>MAYO</t>
  </si>
  <si>
    <t>PROY. SOCIAL</t>
  </si>
  <si>
    <t>BIENESTAR</t>
  </si>
  <si>
    <t>EJECUCION  TOTAL</t>
  </si>
  <si>
    <t>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</si>
</sst>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\ #,##0;[Red]\(&quot;$&quot;\ #,##0\)"/>
    <numFmt numFmtId="165" formatCode="#,##0\ ;[Red]\-#,##0\ 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b/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indexed="10"/>
      <name val="Arial Narrow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0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5" fillId="0" borderId="0"/>
    <xf numFmtId="0" fontId="26" fillId="3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7" fillId="0" borderId="0"/>
    <xf numFmtId="0" fontId="28" fillId="0" borderId="0"/>
  </cellStyleXfs>
  <cellXfs count="286">
    <xf numFmtId="0" fontId="0" fillId="0" borderId="0" xfId="0"/>
    <xf numFmtId="3" fontId="0" fillId="0" borderId="0" xfId="0" applyNumberFormat="1"/>
    <xf numFmtId="164" fontId="5" fillId="0" borderId="0" xfId="3" applyNumberFormat="1"/>
    <xf numFmtId="0" fontId="5" fillId="0" borderId="0" xfId="3"/>
    <xf numFmtId="3" fontId="6" fillId="0" borderId="0" xfId="0" applyNumberFormat="1" applyFont="1" applyBorder="1"/>
    <xf numFmtId="3" fontId="5" fillId="0" borderId="0" xfId="3" applyNumberFormat="1"/>
    <xf numFmtId="0" fontId="5" fillId="0" borderId="0" xfId="3" applyAlignment="1">
      <alignment horizontal="right"/>
    </xf>
    <xf numFmtId="3" fontId="7" fillId="0" borderId="1" xfId="0" applyNumberFormat="1" applyFont="1" applyBorder="1"/>
    <xf numFmtId="3" fontId="6" fillId="0" borderId="1" xfId="0" applyNumberFormat="1" applyFont="1" applyBorder="1"/>
    <xf numFmtId="3" fontId="6" fillId="0" borderId="2" xfId="0" applyNumberFormat="1" applyFont="1" applyBorder="1"/>
    <xf numFmtId="3" fontId="6" fillId="0" borderId="3" xfId="0" applyNumberFormat="1" applyFont="1" applyBorder="1"/>
    <xf numFmtId="10" fontId="8" fillId="0" borderId="1" xfId="0" applyNumberFormat="1" applyFont="1" applyBorder="1" applyAlignment="1">
      <alignment horizontal="center" vertical="center"/>
    </xf>
    <xf numFmtId="3" fontId="6" fillId="0" borderId="4" xfId="0" applyNumberFormat="1" applyFont="1" applyFill="1" applyBorder="1" applyAlignment="1">
      <alignment horizontal="right" vertical="center" wrapText="1"/>
    </xf>
    <xf numFmtId="3" fontId="6" fillId="0" borderId="1" xfId="0" applyNumberFormat="1" applyFont="1" applyFill="1" applyBorder="1" applyAlignment="1">
      <alignment horizontal="right" vertical="center" wrapText="1"/>
    </xf>
    <xf numFmtId="10" fontId="9" fillId="4" borderId="1" xfId="0" applyNumberFormat="1" applyFont="1" applyFill="1" applyBorder="1" applyAlignment="1">
      <alignment horizontal="center" vertical="center"/>
    </xf>
    <xf numFmtId="3" fontId="6" fillId="0" borderId="4" xfId="0" applyNumberFormat="1" applyFont="1" applyBorder="1"/>
    <xf numFmtId="10" fontId="9" fillId="0" borderId="5" xfId="0" applyNumberFormat="1" applyFont="1" applyBorder="1" applyAlignment="1">
      <alignment horizontal="center" vertical="center"/>
    </xf>
    <xf numFmtId="10" fontId="0" fillId="4" borderId="1" xfId="0" applyNumberFormat="1" applyFill="1" applyBorder="1" applyAlignment="1">
      <alignment horizontal="center" vertical="center"/>
    </xf>
    <xf numFmtId="3" fontId="0" fillId="0" borderId="1" xfId="0" applyNumberFormat="1" applyBorder="1"/>
    <xf numFmtId="3" fontId="10" fillId="0" borderId="6" xfId="0" applyNumberFormat="1" applyFont="1" applyFill="1" applyBorder="1" applyAlignment="1">
      <alignment horizontal="right" vertical="center" wrapText="1"/>
    </xf>
    <xf numFmtId="0" fontId="0" fillId="0" borderId="1" xfId="0" applyBorder="1"/>
    <xf numFmtId="165" fontId="7" fillId="0" borderId="5" xfId="0" applyNumberFormat="1" applyFont="1" applyBorder="1" applyAlignment="1">
      <alignment vertical="center" wrapText="1"/>
    </xf>
    <xf numFmtId="165" fontId="6" fillId="0" borderId="5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3" fontId="6" fillId="0" borderId="5" xfId="0" applyNumberFormat="1" applyFont="1" applyFill="1" applyBorder="1" applyAlignment="1">
      <alignment horizontal="right" vertical="center" wrapText="1"/>
    </xf>
    <xf numFmtId="10" fontId="8" fillId="0" borderId="5" xfId="0" applyNumberFormat="1" applyFont="1" applyBorder="1" applyAlignment="1">
      <alignment horizontal="center" vertical="center"/>
    </xf>
    <xf numFmtId="3" fontId="6" fillId="0" borderId="8" xfId="0" applyNumberFormat="1" applyFont="1" applyBorder="1" applyAlignment="1">
      <alignment vertical="center" wrapText="1"/>
    </xf>
    <xf numFmtId="3" fontId="6" fillId="0" borderId="5" xfId="0" applyNumberFormat="1" applyFont="1" applyBorder="1" applyAlignment="1">
      <alignment vertical="center" wrapText="1"/>
    </xf>
    <xf numFmtId="10" fontId="9" fillId="4" borderId="5" xfId="0" applyNumberFormat="1" applyFont="1" applyFill="1" applyBorder="1" applyAlignment="1">
      <alignment horizontal="center" vertical="center"/>
    </xf>
    <xf numFmtId="165" fontId="6" fillId="0" borderId="8" xfId="0" applyNumberFormat="1" applyFont="1" applyBorder="1" applyAlignment="1">
      <alignment vertical="center" wrapText="1"/>
    </xf>
    <xf numFmtId="3" fontId="6" fillId="0" borderId="7" xfId="0" applyNumberFormat="1" applyFont="1" applyFill="1" applyBorder="1" applyAlignment="1">
      <alignment horizontal="right" vertical="center" wrapText="1"/>
    </xf>
    <xf numFmtId="10" fontId="0" fillId="4" borderId="5" xfId="0" applyNumberFormat="1" applyFill="1" applyBorder="1" applyAlignment="1">
      <alignment horizontal="center" vertical="center"/>
    </xf>
    <xf numFmtId="3" fontId="7" fillId="0" borderId="5" xfId="0" applyNumberFormat="1" applyFont="1" applyBorder="1" applyAlignment="1">
      <alignment vertical="center" wrapText="1"/>
    </xf>
    <xf numFmtId="3" fontId="7" fillId="0" borderId="8" xfId="0" applyNumberFormat="1" applyFont="1" applyBorder="1" applyAlignment="1">
      <alignment vertical="center" wrapText="1"/>
    </xf>
    <xf numFmtId="0" fontId="0" fillId="0" borderId="5" xfId="0" applyBorder="1" applyAlignment="1">
      <alignment horizontal="center"/>
    </xf>
    <xf numFmtId="0" fontId="7" fillId="0" borderId="5" xfId="0" applyFont="1" applyBorder="1" applyAlignment="1">
      <alignment horizontal="right" vertical="center" wrapText="1"/>
    </xf>
    <xf numFmtId="0" fontId="7" fillId="0" borderId="5" xfId="0" applyFont="1" applyBorder="1" applyAlignment="1">
      <alignment horizontal="right"/>
    </xf>
    <xf numFmtId="3" fontId="6" fillId="0" borderId="8" xfId="0" applyNumberFormat="1" applyFont="1" applyBorder="1"/>
    <xf numFmtId="3" fontId="6" fillId="0" borderId="9" xfId="0" applyNumberFormat="1" applyFont="1" applyBorder="1"/>
    <xf numFmtId="3" fontId="6" fillId="0" borderId="5" xfId="0" applyNumberFormat="1" applyFont="1" applyBorder="1"/>
    <xf numFmtId="3" fontId="6" fillId="0" borderId="8" xfId="0" applyNumberFormat="1" applyFont="1" applyFill="1" applyBorder="1" applyAlignment="1">
      <alignment horizontal="right" vertical="center" wrapText="1"/>
    </xf>
    <xf numFmtId="3" fontId="7" fillId="0" borderId="5" xfId="0" applyNumberFormat="1" applyFont="1" applyBorder="1"/>
    <xf numFmtId="3" fontId="0" fillId="0" borderId="5" xfId="0" applyNumberFormat="1" applyBorder="1"/>
    <xf numFmtId="0" fontId="0" fillId="0" borderId="5" xfId="0" applyBorder="1"/>
    <xf numFmtId="0" fontId="0" fillId="0" borderId="5" xfId="0" applyBorder="1" applyAlignment="1">
      <alignment horizontal="center" vertical="center"/>
    </xf>
    <xf numFmtId="3" fontId="6" fillId="4" borderId="5" xfId="0" applyNumberFormat="1" applyFont="1" applyFill="1" applyBorder="1" applyAlignment="1">
      <alignment horizontal="right" vertical="center" wrapText="1"/>
    </xf>
    <xf numFmtId="3" fontId="6" fillId="4" borderId="7" xfId="0" applyNumberFormat="1" applyFont="1" applyFill="1" applyBorder="1" applyAlignment="1">
      <alignment horizontal="right" vertical="center" wrapText="1"/>
    </xf>
    <xf numFmtId="0" fontId="7" fillId="0" borderId="5" xfId="0" applyFont="1" applyBorder="1" applyAlignment="1">
      <alignment horizontal="right" wrapText="1"/>
    </xf>
    <xf numFmtId="3" fontId="7" fillId="0" borderId="5" xfId="0" applyNumberFormat="1" applyFont="1" applyBorder="1" applyAlignment="1">
      <alignment horizontal="right" wrapText="1"/>
    </xf>
    <xf numFmtId="165" fontId="7" fillId="4" borderId="9" xfId="0" applyNumberFormat="1" applyFont="1" applyFill="1" applyBorder="1" applyAlignment="1">
      <alignment horizontal="right" vertical="center" wrapText="1"/>
    </xf>
    <xf numFmtId="0" fontId="0" fillId="0" borderId="9" xfId="0" applyFill="1" applyBorder="1"/>
    <xf numFmtId="0" fontId="0" fillId="0" borderId="5" xfId="0" applyFill="1" applyBorder="1"/>
    <xf numFmtId="3" fontId="7" fillId="4" borderId="9" xfId="0" applyNumberFormat="1" applyFont="1" applyFill="1" applyBorder="1" applyAlignment="1">
      <alignment horizontal="right" vertical="center" wrapText="1"/>
    </xf>
    <xf numFmtId="0" fontId="9" fillId="0" borderId="9" xfId="0" applyFont="1" applyFill="1" applyBorder="1"/>
    <xf numFmtId="0" fontId="9" fillId="0" borderId="8" xfId="0" applyFont="1" applyFill="1" applyBorder="1"/>
    <xf numFmtId="3" fontId="9" fillId="0" borderId="9" xfId="0" applyNumberFormat="1" applyFont="1" applyFill="1" applyBorder="1"/>
    <xf numFmtId="3" fontId="9" fillId="0" borderId="5" xfId="0" applyNumberFormat="1" applyFont="1" applyFill="1" applyBorder="1"/>
    <xf numFmtId="0" fontId="0" fillId="4" borderId="9" xfId="0" applyFill="1" applyBorder="1"/>
    <xf numFmtId="0" fontId="7" fillId="4" borderId="9" xfId="0" applyFont="1" applyFill="1" applyBorder="1" applyAlignment="1">
      <alignment vertical="center" wrapText="1"/>
    </xf>
    <xf numFmtId="3" fontId="6" fillId="0" borderId="6" xfId="0" applyNumberFormat="1" applyFont="1" applyFill="1" applyBorder="1" applyAlignment="1">
      <alignment horizontal="right" vertical="center" wrapText="1"/>
    </xf>
    <xf numFmtId="10" fontId="0" fillId="0" borderId="5" xfId="0" applyNumberFormat="1" applyBorder="1" applyAlignment="1">
      <alignment horizontal="center" vertical="center"/>
    </xf>
    <xf numFmtId="3" fontId="0" fillId="0" borderId="6" xfId="0" applyNumberFormat="1" applyBorder="1" applyAlignment="1">
      <alignment horizontal="right" vertical="center"/>
    </xf>
    <xf numFmtId="10" fontId="0" fillId="0" borderId="6" xfId="0" applyNumberFormat="1" applyBorder="1" applyAlignment="1">
      <alignment horizontal="center" vertical="center"/>
    </xf>
    <xf numFmtId="3" fontId="6" fillId="0" borderId="10" xfId="0" applyNumberFormat="1" applyFont="1" applyFill="1" applyBorder="1" applyAlignment="1">
      <alignment horizontal="right" vertical="center" wrapText="1"/>
    </xf>
    <xf numFmtId="3" fontId="6" fillId="4" borderId="11" xfId="0" applyNumberFormat="1" applyFont="1" applyFill="1" applyBorder="1" applyAlignment="1">
      <alignment horizontal="right" vertical="center" wrapText="1"/>
    </xf>
    <xf numFmtId="3" fontId="11" fillId="4" borderId="11" xfId="0" applyNumberFormat="1" applyFont="1" applyFill="1" applyBorder="1" applyAlignment="1">
      <alignment horizontal="right" vertical="center" wrapText="1"/>
    </xf>
    <xf numFmtId="3" fontId="11" fillId="4" borderId="6" xfId="0" applyNumberFormat="1" applyFont="1" applyFill="1" applyBorder="1" applyAlignment="1">
      <alignment horizontal="right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0" fillId="4" borderId="0" xfId="0" applyFill="1"/>
    <xf numFmtId="3" fontId="12" fillId="5" borderId="1" xfId="0" applyNumberFormat="1" applyFont="1" applyFill="1" applyBorder="1" applyAlignment="1">
      <alignment horizontal="right" vertical="center" wrapText="1"/>
    </xf>
    <xf numFmtId="10" fontId="8" fillId="5" borderId="1" xfId="0" applyNumberFormat="1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 wrapText="1"/>
    </xf>
    <xf numFmtId="3" fontId="13" fillId="5" borderId="1" xfId="0" applyNumberFormat="1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0" fillId="5" borderId="1" xfId="0" applyFill="1" applyBorder="1"/>
    <xf numFmtId="3" fontId="5" fillId="4" borderId="5" xfId="0" applyNumberFormat="1" applyFont="1" applyFill="1" applyBorder="1" applyAlignment="1">
      <alignment horizontal="right" vertical="center" wrapText="1"/>
    </xf>
    <xf numFmtId="3" fontId="6" fillId="0" borderId="12" xfId="0" applyNumberFormat="1" applyFont="1" applyFill="1" applyBorder="1" applyAlignment="1">
      <alignment horizontal="right" vertical="center" wrapText="1"/>
    </xf>
    <xf numFmtId="3" fontId="6" fillId="4" borderId="12" xfId="0" applyNumberFormat="1" applyFont="1" applyFill="1" applyBorder="1" applyAlignment="1">
      <alignment horizontal="right" vertical="center" wrapText="1"/>
    </xf>
    <xf numFmtId="3" fontId="10" fillId="0" borderId="5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right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vertical="center" wrapText="1"/>
    </xf>
    <xf numFmtId="0" fontId="7" fillId="4" borderId="5" xfId="0" applyFont="1" applyFill="1" applyBorder="1" applyAlignment="1">
      <alignment horizontal="center" vertical="center" wrapText="1"/>
    </xf>
    <xf numFmtId="3" fontId="10" fillId="4" borderId="5" xfId="0" applyNumberFormat="1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vertical="center" wrapText="1"/>
    </xf>
    <xf numFmtId="0" fontId="0" fillId="0" borderId="0" xfId="0" applyBorder="1"/>
    <xf numFmtId="0" fontId="0" fillId="0" borderId="7" xfId="0" applyBorder="1"/>
    <xf numFmtId="0" fontId="0" fillId="6" borderId="0" xfId="0" applyFill="1"/>
    <xf numFmtId="0" fontId="10" fillId="0" borderId="6" xfId="0" applyFont="1" applyFill="1" applyBorder="1" applyAlignment="1">
      <alignment vertical="center" wrapText="1"/>
    </xf>
    <xf numFmtId="3" fontId="12" fillId="5" borderId="5" xfId="0" applyNumberFormat="1" applyFont="1" applyFill="1" applyBorder="1" applyAlignment="1">
      <alignment horizontal="right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0" fillId="5" borderId="5" xfId="0" applyFill="1" applyBorder="1"/>
    <xf numFmtId="0" fontId="10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165" fontId="6" fillId="0" borderId="11" xfId="0" applyNumberFormat="1" applyFont="1" applyFill="1" applyBorder="1" applyAlignment="1">
      <alignment horizontal="right" vertical="center" wrapText="1"/>
    </xf>
    <xf numFmtId="0" fontId="9" fillId="0" borderId="0" xfId="0" applyFont="1" applyFill="1" applyAlignment="1">
      <alignment horizontal="right"/>
    </xf>
    <xf numFmtId="0" fontId="0" fillId="0" borderId="6" xfId="0" applyBorder="1" applyAlignment="1">
      <alignment horizontal="center" vertical="center"/>
    </xf>
    <xf numFmtId="3" fontId="6" fillId="0" borderId="11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center"/>
    </xf>
    <xf numFmtId="3" fontId="6" fillId="4" borderId="0" xfId="0" applyNumberFormat="1" applyFont="1" applyFill="1" applyBorder="1" applyAlignment="1">
      <alignment horizontal="right" vertical="center" wrapText="1"/>
    </xf>
    <xf numFmtId="3" fontId="3" fillId="4" borderId="0" xfId="0" applyNumberFormat="1" applyFont="1" applyFill="1" applyBorder="1" applyAlignment="1">
      <alignment horizontal="right"/>
    </xf>
    <xf numFmtId="0" fontId="9" fillId="4" borderId="0" xfId="0" applyFont="1" applyFill="1" applyBorder="1" applyAlignment="1">
      <alignment horizontal="center" textRotation="255" wrapText="1"/>
    </xf>
    <xf numFmtId="0" fontId="9" fillId="4" borderId="0" xfId="0" applyFont="1" applyFill="1" applyBorder="1"/>
    <xf numFmtId="0" fontId="9" fillId="4" borderId="0" xfId="0" applyFont="1" applyFill="1" applyBorder="1" applyAlignment="1">
      <alignment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0" borderId="17" xfId="0" applyFont="1" applyBorder="1"/>
    <xf numFmtId="3" fontId="12" fillId="5" borderId="2" xfId="0" applyNumberFormat="1" applyFont="1" applyFill="1" applyBorder="1" applyAlignment="1">
      <alignment horizontal="right" vertical="center" wrapText="1"/>
    </xf>
    <xf numFmtId="0" fontId="16" fillId="5" borderId="4" xfId="0" applyFont="1" applyFill="1" applyBorder="1" applyAlignment="1">
      <alignment horizontal="center" vertical="center" wrapText="1"/>
    </xf>
    <xf numFmtId="0" fontId="0" fillId="5" borderId="0" xfId="0" applyFill="1"/>
    <xf numFmtId="0" fontId="0" fillId="0" borderId="0" xfId="0" applyFill="1"/>
    <xf numFmtId="0" fontId="0" fillId="0" borderId="5" xfId="0" applyFont="1" applyBorder="1"/>
    <xf numFmtId="3" fontId="5" fillId="4" borderId="6" xfId="0" applyNumberFormat="1" applyFont="1" applyFill="1" applyBorder="1" applyAlignment="1">
      <alignment horizontal="right" vertical="center" wrapText="1"/>
    </xf>
    <xf numFmtId="3" fontId="6" fillId="4" borderId="5" xfId="0" applyNumberFormat="1" applyFont="1" applyFill="1" applyBorder="1" applyAlignment="1">
      <alignment horizontal="center" vertical="center" wrapText="1"/>
    </xf>
    <xf numFmtId="3" fontId="6" fillId="4" borderId="6" xfId="0" applyNumberFormat="1" applyFont="1" applyFill="1" applyBorder="1" applyAlignment="1">
      <alignment horizontal="right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vertical="center" wrapText="1"/>
    </xf>
    <xf numFmtId="3" fontId="12" fillId="5" borderId="13" xfId="0" applyNumberFormat="1" applyFont="1" applyFill="1" applyBorder="1" applyAlignment="1">
      <alignment horizontal="right" vertical="center" wrapText="1"/>
    </xf>
    <xf numFmtId="10" fontId="8" fillId="5" borderId="5" xfId="0" applyNumberFormat="1" applyFont="1" applyFill="1" applyBorder="1" applyAlignment="1">
      <alignment horizontal="center" vertical="center"/>
    </xf>
    <xf numFmtId="3" fontId="10" fillId="5" borderId="12" xfId="0" applyNumberFormat="1" applyFont="1" applyFill="1" applyBorder="1" applyAlignment="1">
      <alignment horizontal="center" vertical="center" wrapText="1"/>
    </xf>
    <xf numFmtId="3" fontId="10" fillId="5" borderId="5" xfId="0" applyNumberFormat="1" applyFont="1" applyFill="1" applyBorder="1" applyAlignment="1">
      <alignment horizontal="center" vertical="center" wrapText="1"/>
    </xf>
    <xf numFmtId="0" fontId="0" fillId="5" borderId="18" xfId="0" applyFill="1" applyBorder="1" applyAlignment="1"/>
    <xf numFmtId="3" fontId="9" fillId="4" borderId="5" xfId="2" applyNumberFormat="1" applyFont="1" applyFill="1" applyBorder="1" applyAlignment="1">
      <alignment horizontal="right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vertical="center" wrapText="1"/>
    </xf>
    <xf numFmtId="3" fontId="10" fillId="0" borderId="12" xfId="0" applyNumberFormat="1" applyFont="1" applyFill="1" applyBorder="1" applyAlignment="1">
      <alignment horizontal="center" vertical="center" wrapText="1"/>
    </xf>
    <xf numFmtId="3" fontId="9" fillId="5" borderId="12" xfId="0" applyNumberFormat="1" applyFont="1" applyFill="1" applyBorder="1" applyAlignment="1">
      <alignment vertical="center" wrapText="1"/>
    </xf>
    <xf numFmtId="3" fontId="9" fillId="5" borderId="1" xfId="0" applyNumberFormat="1" applyFont="1" applyFill="1" applyBorder="1" applyAlignment="1">
      <alignment vertical="center" wrapText="1"/>
    </xf>
    <xf numFmtId="0" fontId="9" fillId="5" borderId="1" xfId="0" applyFont="1" applyFill="1" applyBorder="1" applyAlignment="1">
      <alignment vertical="center" wrapText="1"/>
    </xf>
    <xf numFmtId="0" fontId="0" fillId="5" borderId="5" xfId="0" applyFill="1" applyBorder="1" applyAlignment="1">
      <alignment textRotation="255"/>
    </xf>
    <xf numFmtId="0" fontId="0" fillId="0" borderId="5" xfId="0" applyFont="1" applyBorder="1" applyAlignment="1">
      <alignment wrapText="1"/>
    </xf>
    <xf numFmtId="0" fontId="0" fillId="0" borderId="6" xfId="0" applyFont="1" applyBorder="1" applyAlignment="1">
      <alignment wrapText="1"/>
    </xf>
    <xf numFmtId="0" fontId="0" fillId="0" borderId="15" xfId="0" applyFont="1" applyBorder="1" applyAlignment="1">
      <alignment wrapText="1"/>
    </xf>
    <xf numFmtId="0" fontId="0" fillId="0" borderId="12" xfId="0" applyFont="1" applyBorder="1" applyAlignment="1">
      <alignment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5" xfId="0" applyFont="1" applyBorder="1" applyAlignment="1">
      <alignment vertical="center" wrapText="1"/>
    </xf>
    <xf numFmtId="0" fontId="0" fillId="4" borderId="0" xfId="0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wrapText="1"/>
    </xf>
    <xf numFmtId="3" fontId="5" fillId="4" borderId="7" xfId="0" applyNumberFormat="1" applyFont="1" applyFill="1" applyBorder="1" applyAlignment="1">
      <alignment horizontal="right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19" fillId="7" borderId="5" xfId="0" applyFont="1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 wrapText="1"/>
    </xf>
    <xf numFmtId="0" fontId="20" fillId="4" borderId="5" xfId="0" applyFont="1" applyFill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center" wrapText="1"/>
    </xf>
    <xf numFmtId="0" fontId="19" fillId="8" borderId="5" xfId="0" applyFont="1" applyFill="1" applyBorder="1" applyAlignment="1">
      <alignment horizontal="center" vertical="center" wrapText="1"/>
    </xf>
    <xf numFmtId="0" fontId="19" fillId="8" borderId="5" xfId="0" applyFont="1" applyFill="1" applyBorder="1" applyAlignment="1">
      <alignment horizontal="center" vertical="center"/>
    </xf>
    <xf numFmtId="0" fontId="19" fillId="9" borderId="5" xfId="0" applyFont="1" applyFill="1" applyBorder="1" applyAlignment="1">
      <alignment horizontal="center" vertical="center" wrapText="1"/>
    </xf>
    <xf numFmtId="0" fontId="0" fillId="4" borderId="17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20" fillId="6" borderId="8" xfId="0" applyFont="1" applyFill="1" applyBorder="1" applyAlignment="1">
      <alignment vertical="center" wrapText="1"/>
    </xf>
    <xf numFmtId="0" fontId="20" fillId="6" borderId="5" xfId="0" applyFont="1" applyFill="1" applyBorder="1" applyAlignment="1">
      <alignment vertical="center" wrapText="1"/>
    </xf>
    <xf numFmtId="0" fontId="20" fillId="4" borderId="17" xfId="0" applyFont="1" applyFill="1" applyBorder="1" applyAlignment="1">
      <alignment vertical="center" wrapText="1"/>
    </xf>
    <xf numFmtId="0" fontId="0" fillId="7" borderId="8" xfId="0" applyFill="1" applyBorder="1" applyAlignment="1">
      <alignment vertical="center" wrapText="1"/>
    </xf>
    <xf numFmtId="0" fontId="0" fillId="7" borderId="5" xfId="0" applyFill="1" applyBorder="1" applyAlignment="1">
      <alignment vertical="center" wrapText="1"/>
    </xf>
    <xf numFmtId="0" fontId="0" fillId="4" borderId="5" xfId="0" applyFill="1" applyBorder="1" applyAlignment="1">
      <alignment wrapText="1"/>
    </xf>
    <xf numFmtId="0" fontId="20" fillId="4" borderId="5" xfId="0" applyFont="1" applyFill="1" applyBorder="1" applyAlignment="1">
      <alignment vertical="center" wrapText="1"/>
    </xf>
    <xf numFmtId="0" fontId="7" fillId="9" borderId="9" xfId="0" applyFont="1" applyFill="1" applyBorder="1" applyAlignment="1">
      <alignment horizontal="center" vertical="center" wrapText="1"/>
    </xf>
    <xf numFmtId="0" fontId="20" fillId="4" borderId="13" xfId="0" applyFont="1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0" fillId="4" borderId="20" xfId="0" applyFill="1" applyBorder="1" applyAlignment="1">
      <alignment wrapText="1"/>
    </xf>
    <xf numFmtId="0" fontId="20" fillId="4" borderId="13" xfId="0" applyFont="1" applyFill="1" applyBorder="1" applyAlignment="1">
      <alignment vertical="center" wrapText="1"/>
    </xf>
    <xf numFmtId="0" fontId="21" fillId="0" borderId="9" xfId="0" applyFon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0" fontId="20" fillId="7" borderId="5" xfId="0" applyFont="1" applyFill="1" applyBorder="1" applyAlignment="1">
      <alignment horizontal="center" vertical="center"/>
    </xf>
    <xf numFmtId="0" fontId="21" fillId="0" borderId="17" xfId="0" applyFont="1" applyBorder="1" applyAlignment="1"/>
    <xf numFmtId="0" fontId="21" fillId="0" borderId="11" xfId="0" applyFont="1" applyBorder="1" applyAlignment="1"/>
    <xf numFmtId="0" fontId="21" fillId="0" borderId="19" xfId="0" applyFont="1" applyBorder="1" applyAlignment="1"/>
    <xf numFmtId="0" fontId="0" fillId="7" borderId="9" xfId="0" applyFill="1" applyBorder="1" applyAlignment="1">
      <alignment vertical="center" wrapText="1"/>
    </xf>
    <xf numFmtId="0" fontId="0" fillId="7" borderId="7" xfId="0" applyFill="1" applyBorder="1" applyAlignment="1">
      <alignment vertical="center" wrapText="1"/>
    </xf>
    <xf numFmtId="0" fontId="0" fillId="6" borderId="8" xfId="0" applyFill="1" applyBorder="1" applyAlignment="1">
      <alignment vertical="center" wrapText="1"/>
    </xf>
    <xf numFmtId="0" fontId="0" fillId="6" borderId="7" xfId="0" applyFill="1" applyBorder="1" applyAlignment="1">
      <alignment vertical="center" wrapText="1"/>
    </xf>
    <xf numFmtId="0" fontId="17" fillId="5" borderId="2" xfId="0" applyFont="1" applyFill="1" applyBorder="1" applyAlignment="1">
      <alignment horizontal="left" vertical="center" wrapText="1"/>
    </xf>
    <xf numFmtId="10" fontId="8" fillId="4" borderId="1" xfId="0" applyNumberFormat="1" applyFont="1" applyFill="1" applyBorder="1" applyAlignment="1">
      <alignment horizontal="center" vertical="center"/>
    </xf>
    <xf numFmtId="10" fontId="8" fillId="0" borderId="6" xfId="0" applyNumberFormat="1" applyFont="1" applyBorder="1" applyAlignment="1">
      <alignment horizontal="center" vertical="center"/>
    </xf>
    <xf numFmtId="10" fontId="8" fillId="4" borderId="5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/>
    </xf>
    <xf numFmtId="0" fontId="0" fillId="4" borderId="5" xfId="0" applyFill="1" applyBorder="1"/>
    <xf numFmtId="10" fontId="0" fillId="4" borderId="5" xfId="0" applyNumberFormat="1" applyFill="1" applyBorder="1" applyAlignment="1">
      <alignment horizontal="center"/>
    </xf>
    <xf numFmtId="10" fontId="0" fillId="4" borderId="5" xfId="0" applyNumberFormat="1" applyFill="1" applyBorder="1"/>
    <xf numFmtId="0" fontId="0" fillId="4" borderId="5" xfId="0" applyFill="1" applyBorder="1" applyAlignment="1">
      <alignment horizontal="center"/>
    </xf>
    <xf numFmtId="0" fontId="4" fillId="4" borderId="5" xfId="0" applyFont="1" applyFill="1" applyBorder="1" applyAlignment="1">
      <alignment horizontal="center" vertical="center"/>
    </xf>
    <xf numFmtId="10" fontId="4" fillId="4" borderId="5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vertical="center"/>
    </xf>
    <xf numFmtId="10" fontId="4" fillId="4" borderId="5" xfId="0" applyNumberFormat="1" applyFont="1" applyFill="1" applyBorder="1" applyAlignment="1">
      <alignment vertical="center"/>
    </xf>
    <xf numFmtId="3" fontId="5" fillId="6" borderId="5" xfId="0" applyNumberFormat="1" applyFont="1" applyFill="1" applyBorder="1" applyAlignment="1">
      <alignment horizontal="right" vertical="center" wrapText="1"/>
    </xf>
    <xf numFmtId="0" fontId="0" fillId="6" borderId="0" xfId="0" applyFill="1" applyBorder="1" applyAlignment="1">
      <alignment horizontal="center" vertical="center" wrapText="1"/>
    </xf>
    <xf numFmtId="10" fontId="8" fillId="6" borderId="5" xfId="0" applyNumberFormat="1" applyFont="1" applyFill="1" applyBorder="1" applyAlignment="1">
      <alignment horizontal="center" vertical="center"/>
    </xf>
    <xf numFmtId="0" fontId="21" fillId="0" borderId="17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19" fillId="8" borderId="12" xfId="0" applyFont="1" applyFill="1" applyBorder="1" applyAlignment="1">
      <alignment horizontal="center" vertical="center" wrapText="1"/>
    </xf>
    <xf numFmtId="0" fontId="19" fillId="8" borderId="6" xfId="0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wrapText="1"/>
    </xf>
    <xf numFmtId="0" fontId="23" fillId="0" borderId="9" xfId="0" applyFont="1" applyBorder="1" applyAlignment="1">
      <alignment horizontal="center" wrapText="1"/>
    </xf>
    <xf numFmtId="0" fontId="23" fillId="0" borderId="7" xfId="0" applyFont="1" applyBorder="1" applyAlignment="1">
      <alignment horizontal="center" wrapText="1"/>
    </xf>
    <xf numFmtId="3" fontId="21" fillId="0" borderId="17" xfId="0" applyNumberFormat="1" applyFont="1" applyBorder="1" applyAlignment="1">
      <alignment horizontal="center"/>
    </xf>
    <xf numFmtId="3" fontId="21" fillId="0" borderId="11" xfId="0" applyNumberFormat="1" applyFont="1" applyBorder="1" applyAlignment="1">
      <alignment horizontal="center"/>
    </xf>
    <xf numFmtId="3" fontId="21" fillId="0" borderId="19" xfId="0" applyNumberFormat="1" applyFont="1" applyBorder="1" applyAlignment="1">
      <alignment horizontal="center"/>
    </xf>
    <xf numFmtId="0" fontId="0" fillId="7" borderId="8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19" fillId="8" borderId="5" xfId="0" applyFont="1" applyFill="1" applyBorder="1" applyAlignment="1">
      <alignment horizontal="center" vertical="center" wrapText="1"/>
    </xf>
    <xf numFmtId="0" fontId="19" fillId="8" borderId="13" xfId="0" applyFont="1" applyFill="1" applyBorder="1" applyAlignment="1">
      <alignment horizontal="center" vertical="center" wrapText="1"/>
    </xf>
    <xf numFmtId="0" fontId="19" fillId="8" borderId="17" xfId="0" applyFont="1" applyFill="1" applyBorder="1" applyAlignment="1">
      <alignment horizontal="center" vertical="center" wrapText="1"/>
    </xf>
    <xf numFmtId="0" fontId="7" fillId="8" borderId="12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0" fillId="0" borderId="15" xfId="0" applyBorder="1" applyAlignment="1">
      <alignment horizontal="center" vertical="center" textRotation="255"/>
    </xf>
    <xf numFmtId="3" fontId="10" fillId="0" borderId="12" xfId="0" applyNumberFormat="1" applyFont="1" applyFill="1" applyBorder="1" applyAlignment="1">
      <alignment horizontal="center" vertical="center" wrapText="1"/>
    </xf>
    <xf numFmtId="3" fontId="10" fillId="0" borderId="15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9" fontId="10" fillId="0" borderId="12" xfId="1" applyFont="1" applyFill="1" applyBorder="1" applyAlignment="1">
      <alignment horizontal="center" vertical="center" wrapText="1"/>
    </xf>
    <xf numFmtId="9" fontId="10" fillId="0" borderId="15" xfId="1" applyFont="1" applyFill="1" applyBorder="1" applyAlignment="1">
      <alignment horizontal="center" vertical="center" wrapText="1"/>
    </xf>
    <xf numFmtId="9" fontId="10" fillId="0" borderId="6" xfId="1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horizontal="center" vertical="center" textRotation="255"/>
    </xf>
    <xf numFmtId="3" fontId="10" fillId="0" borderId="16" xfId="0" applyNumberFormat="1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textRotation="255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textRotation="255"/>
    </xf>
    <xf numFmtId="0" fontId="14" fillId="5" borderId="2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16" fillId="5" borderId="2" xfId="0" applyFont="1" applyFill="1" applyBorder="1" applyAlignment="1">
      <alignment horizontal="center" vertical="center" wrapText="1"/>
    </xf>
    <xf numFmtId="0" fontId="16" fillId="5" borderId="3" xfId="0" applyFont="1" applyFill="1" applyBorder="1" applyAlignment="1">
      <alignment horizontal="center" vertical="center" wrapText="1"/>
    </xf>
    <xf numFmtId="0" fontId="16" fillId="5" borderId="4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textRotation="255"/>
    </xf>
    <xf numFmtId="0" fontId="20" fillId="8" borderId="12" xfId="0" applyFont="1" applyFill="1" applyBorder="1" applyAlignment="1">
      <alignment horizontal="center" vertical="center" wrapText="1"/>
    </xf>
    <xf numFmtId="0" fontId="20" fillId="8" borderId="15" xfId="0" applyFont="1" applyFill="1" applyBorder="1" applyAlignment="1">
      <alignment horizontal="center" vertical="center" wrapText="1"/>
    </xf>
    <xf numFmtId="0" fontId="20" fillId="8" borderId="6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wrapText="1"/>
    </xf>
    <xf numFmtId="0" fontId="0" fillId="7" borderId="20" xfId="0" applyFill="1" applyBorder="1" applyAlignment="1">
      <alignment horizontal="center" wrapText="1"/>
    </xf>
    <xf numFmtId="0" fontId="0" fillId="7" borderId="17" xfId="0" applyFill="1" applyBorder="1" applyAlignment="1">
      <alignment horizontal="center" wrapText="1"/>
    </xf>
    <xf numFmtId="0" fontId="0" fillId="7" borderId="19" xfId="0" applyFill="1" applyBorder="1" applyAlignment="1">
      <alignment horizontal="center" wrapText="1"/>
    </xf>
    <xf numFmtId="0" fontId="20" fillId="7" borderId="13" xfId="0" applyFont="1" applyFill="1" applyBorder="1" applyAlignment="1">
      <alignment horizontal="center" vertical="center" wrapText="1"/>
    </xf>
    <xf numFmtId="0" fontId="0" fillId="7" borderId="20" xfId="0" applyFill="1" applyBorder="1" applyAlignment="1">
      <alignment horizontal="center" vertical="center" wrapText="1"/>
    </xf>
    <xf numFmtId="0" fontId="0" fillId="7" borderId="17" xfId="0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left" vertical="center" wrapText="1"/>
    </xf>
    <xf numFmtId="0" fontId="17" fillId="5" borderId="3" xfId="0" applyFont="1" applyFill="1" applyBorder="1" applyAlignment="1">
      <alignment horizontal="left" vertical="center" wrapText="1"/>
    </xf>
    <xf numFmtId="0" fontId="17" fillId="5" borderId="4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17" fillId="5" borderId="21" xfId="0" applyFont="1" applyFill="1" applyBorder="1" applyAlignment="1">
      <alignment horizontal="left" vertical="center" wrapText="1"/>
    </xf>
    <xf numFmtId="0" fontId="17" fillId="5" borderId="22" xfId="0" applyFont="1" applyFill="1" applyBorder="1" applyAlignment="1">
      <alignment horizontal="left" vertical="center" wrapText="1"/>
    </xf>
    <xf numFmtId="0" fontId="17" fillId="5" borderId="23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center" vertical="center"/>
    </xf>
    <xf numFmtId="0" fontId="0" fillId="4" borderId="0" xfId="0" applyFill="1" applyBorder="1"/>
    <xf numFmtId="0" fontId="30" fillId="4" borderId="0" xfId="3" applyFont="1" applyFill="1"/>
    <xf numFmtId="164" fontId="30" fillId="4" borderId="0" xfId="3" applyNumberFormat="1" applyFont="1" applyFill="1"/>
    <xf numFmtId="10" fontId="30" fillId="4" borderId="0" xfId="0" applyNumberFormat="1" applyFont="1" applyFill="1" applyBorder="1" applyAlignment="1">
      <alignment horizontal="center" vertical="center"/>
    </xf>
    <xf numFmtId="0" fontId="29" fillId="4" borderId="0" xfId="0" applyFont="1" applyFill="1"/>
    <xf numFmtId="3" fontId="31" fillId="4" borderId="0" xfId="0" applyNumberFormat="1" applyFont="1" applyFill="1" applyBorder="1" applyAlignment="1">
      <alignment vertical="center" wrapText="1"/>
    </xf>
  </cellXfs>
  <cellStyles count="13">
    <cellStyle name="40% - Énfasis5 2" xfId="4"/>
    <cellStyle name="Euro" xfId="5"/>
    <cellStyle name="Millares 2" xfId="6"/>
    <cellStyle name="Millares 3" xfId="7"/>
    <cellStyle name="Neutral" xfId="2" builtinId="28"/>
    <cellStyle name="Normal" xfId="0" builtinId="0"/>
    <cellStyle name="Normal 2" xfId="8"/>
    <cellStyle name="Normal 2 2" xfId="9"/>
    <cellStyle name="Normal 2 2 2" xfId="3"/>
    <cellStyle name="Normal 3" xfId="10"/>
    <cellStyle name="Normal 4" xfId="11"/>
    <cellStyle name="Porcentaje" xfId="1" builtinId="5"/>
    <cellStyle name="TableStyleLight1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EJECUCION</a:t>
            </a:r>
            <a:r>
              <a:rPr lang="es-CO" baseline="0"/>
              <a:t> PLAN DE ACCION A AGOSTO DE 2015</a:t>
            </a:r>
            <a:endParaRPr lang="es-CO"/>
          </a:p>
        </c:rich>
      </c:tx>
      <c:layout>
        <c:manualLayout>
          <c:xMode val="edge"/>
          <c:yMode val="edge"/>
          <c:x val="0.19812122176761199"/>
          <c:y val="5.8485174078291131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219579865239794E-2"/>
          <c:y val="0.10606368704930215"/>
          <c:w val="0.96512088783194605"/>
          <c:h val="0.68630092317890001"/>
        </c:manualLayout>
      </c:layout>
      <c:bar3DChart>
        <c:barDir val="col"/>
        <c:grouping val="clustered"/>
        <c:varyColors val="0"/>
        <c:ser>
          <c:idx val="0"/>
          <c:order val="0"/>
          <c:tx>
            <c:v>ASIGNADO</c:v>
          </c:tx>
          <c:invertIfNegative val="0"/>
          <c:dLbls>
            <c:dLbl>
              <c:idx val="0"/>
              <c:layout>
                <c:manualLayout>
                  <c:x val="-7.2663977596309109E-18"/>
                  <c:y val="-1.62932790224032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122869599682918E-2"/>
                  <c:y val="-1.0862186014935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4391472469032932E-2"/>
                  <c:y val="-1.3577732518669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7.9270709472849775E-3"/>
                  <c:y val="-8.14663951120162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9.512485136741973E-3"/>
                  <c:y val="-9.07409344230453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('P.ACCION-SUBSTEMA'!$DT$200,'P.ACCION-SUBSTEMA'!$DT$201,'P.ACCION-SUBSTEMA'!$DT$202,'P.ACCION-SUBSTEMA'!$DT$203,'P.ACCION-SUBSTEMA'!$DT$204)</c:f>
              <c:strCache>
                <c:ptCount val="5"/>
                <c:pt idx="0">
                  <c:v> SUBSISTEMA DE FORMACION</c:v>
                </c:pt>
                <c:pt idx="1">
                  <c:v> SUBSISTEMA: DE INVESTIGACIÓN</c:v>
                </c:pt>
                <c:pt idx="2">
                  <c:v> SUBSISTEMA DE PROYECCION SOCIAL</c:v>
                </c:pt>
                <c:pt idx="3">
                  <c:v> SUBSISTEMA BIENESTAR UNIVERSITARIO</c:v>
                </c:pt>
                <c:pt idx="4">
                  <c:v> SUBSISTEMA ADMINISTRATIVO</c:v>
                </c:pt>
              </c:strCache>
            </c:strRef>
          </c:cat>
          <c:val>
            <c:numRef>
              <c:f>('P.ACCION-SUBSTEMA'!$DU$200,'P.ACCION-SUBSTEMA'!$DU$201,'P.ACCION-SUBSTEMA'!$DU$202,'P.ACCION-SUBSTEMA'!$DU$203,'P.ACCION-SUBSTEMA'!$DU$204)</c:f>
              <c:numCache>
                <c:formatCode>"$"\ #,##0;[Red]\("$"\ #,##0\)</c:formatCode>
                <c:ptCount val="5"/>
                <c:pt idx="0">
                  <c:v>1902108763</c:v>
                </c:pt>
                <c:pt idx="1">
                  <c:v>6482517969</c:v>
                </c:pt>
                <c:pt idx="2">
                  <c:v>2958507753</c:v>
                </c:pt>
                <c:pt idx="3">
                  <c:v>2513486886</c:v>
                </c:pt>
                <c:pt idx="4">
                  <c:v>11160972103</c:v>
                </c:pt>
              </c:numCache>
            </c:numRef>
          </c:val>
        </c:ser>
        <c:ser>
          <c:idx val="1"/>
          <c:order val="1"/>
          <c:tx>
            <c:v>EJECUTADO</c:v>
          </c:tx>
          <c:invertIfNegative val="0"/>
          <c:dLbls>
            <c:dLbl>
              <c:idx val="0"/>
              <c:layout>
                <c:manualLayout>
                  <c:x val="3.3293697978596909E-2"/>
                  <c:y val="-1.62932790224032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64645263575109E-2"/>
                  <c:y val="-8.14663951120162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879112168053963E-2"/>
                  <c:y val="-1.3577732518669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122076892588189E-2"/>
                  <c:y val="-8.14663951120162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8049940546967892E-2"/>
                  <c:y val="-1.62932790224032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('P.ACCION-SUBSTEMA'!$DT$200,'P.ACCION-SUBSTEMA'!$DT$201,'P.ACCION-SUBSTEMA'!$DT$202,'P.ACCION-SUBSTEMA'!$DT$203,'P.ACCION-SUBSTEMA'!$DT$204)</c:f>
              <c:strCache>
                <c:ptCount val="5"/>
                <c:pt idx="0">
                  <c:v> SUBSISTEMA DE FORMACION</c:v>
                </c:pt>
                <c:pt idx="1">
                  <c:v> SUBSISTEMA: DE INVESTIGACIÓN</c:v>
                </c:pt>
                <c:pt idx="2">
                  <c:v> SUBSISTEMA DE PROYECCION SOCIAL</c:v>
                </c:pt>
                <c:pt idx="3">
                  <c:v> SUBSISTEMA BIENESTAR UNIVERSITARIO</c:v>
                </c:pt>
                <c:pt idx="4">
                  <c:v> SUBSISTEMA ADMINISTRATIVO</c:v>
                </c:pt>
              </c:strCache>
            </c:strRef>
          </c:cat>
          <c:val>
            <c:numRef>
              <c:f>('P.ACCION-SUBSTEMA'!$DV$200,'P.ACCION-SUBSTEMA'!$DV$201,'P.ACCION-SUBSTEMA'!$DV$202,'P.ACCION-SUBSTEMA'!$DV$203,'P.ACCION-SUBSTEMA'!$DV$204)</c:f>
              <c:numCache>
                <c:formatCode>"$"\ #,##0;[Red]\("$"\ #,##0\)</c:formatCode>
                <c:ptCount val="5"/>
                <c:pt idx="0">
                  <c:v>788223117</c:v>
                </c:pt>
                <c:pt idx="1">
                  <c:v>3115857051</c:v>
                </c:pt>
                <c:pt idx="2">
                  <c:v>1638726933</c:v>
                </c:pt>
                <c:pt idx="3">
                  <c:v>1889977571</c:v>
                </c:pt>
                <c:pt idx="4">
                  <c:v>4183375247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4494720"/>
        <c:axId val="80488320"/>
        <c:axId val="0"/>
      </c:bar3DChart>
      <c:catAx>
        <c:axId val="74494720"/>
        <c:scaling>
          <c:orientation val="minMax"/>
        </c:scaling>
        <c:delete val="0"/>
        <c:axPos val="b"/>
        <c:majorTickMark val="none"/>
        <c:minorTickMark val="none"/>
        <c:tickLblPos val="nextTo"/>
        <c:crossAx val="80488320"/>
        <c:crosses val="autoZero"/>
        <c:auto val="1"/>
        <c:lblAlgn val="ctr"/>
        <c:lblOffset val="100"/>
        <c:noMultiLvlLbl val="0"/>
      </c:catAx>
      <c:valAx>
        <c:axId val="80488320"/>
        <c:scaling>
          <c:orientation val="minMax"/>
        </c:scaling>
        <c:delete val="1"/>
        <c:axPos val="l"/>
        <c:numFmt formatCode="&quot;$&quot;\ #,##0;[Red]\(&quot;$&quot;\ #,##0\)" sourceLinked="1"/>
        <c:majorTickMark val="none"/>
        <c:minorTickMark val="none"/>
        <c:tickLblPos val="nextTo"/>
        <c:crossAx val="7449472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0118924789573714"/>
          <c:y val="0.94439694019917575"/>
          <c:w val="0.34054646855231085"/>
          <c:h val="4.3177943187012603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800" b="1" i="0" baseline="0">
                <a:effectLst/>
              </a:rPr>
              <a:t>                 </a:t>
            </a:r>
          </a:p>
          <a:p>
            <a:pPr>
              <a:defRPr/>
            </a:pPr>
            <a:r>
              <a:rPr lang="es-CO" sz="1800" b="1" i="0" baseline="0">
                <a:effectLst/>
              </a:rPr>
              <a:t>          EJECUCION PLAN DE ACCION POR RUBROS PRESUPUESTALES A  AGOSTO DE 2015</a:t>
            </a:r>
          </a:p>
          <a:p>
            <a:pPr>
              <a:defRPr/>
            </a:pPr>
            <a:endParaRPr lang="es-CO">
              <a:effectLst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2058287795992714E-2"/>
          <c:y val="0.24282431909126112"/>
          <c:w val="0.96794171220400727"/>
          <c:h val="0.58897484808934397"/>
        </c:manualLayout>
      </c:layout>
      <c:barChart>
        <c:barDir val="col"/>
        <c:grouping val="clustered"/>
        <c:varyColors val="0"/>
        <c:ser>
          <c:idx val="0"/>
          <c:order val="0"/>
          <c:tx>
            <c:v>ASIGNACION</c:v>
          </c:tx>
          <c:invertIfNegative val="0"/>
          <c:cat>
            <c:strRef>
              <c:f>('P.ACCION-SUBSTEMA'!$DT$206,'P.ACCION-SUBSTEMA'!$DT$207,'P.ACCION-SUBSTEMA'!$DT$208,'P.ACCION-SUBSTEMA'!$DT$209,'P.ACCION-SUBSTEMA'!$DT$210,'P.ACCION-SUBSTEMA'!$DT$211,'P.ACCION-SUBSTEMA'!$DT$212)</c:f>
              <c:strCache>
                <c:ptCount val="7"/>
                <c:pt idx="0">
                  <c:v>CONSTRUCCIONES</c:v>
                </c:pt>
                <c:pt idx="1">
                  <c:v>ADQUISICION EQUIPOS</c:v>
                </c:pt>
                <c:pt idx="2">
                  <c:v>CAPACITACION</c:v>
                </c:pt>
                <c:pt idx="3">
                  <c:v>INVESTIGACIONES</c:v>
                </c:pt>
                <c:pt idx="4">
                  <c:v>PLANEACION</c:v>
                </c:pt>
                <c:pt idx="5">
                  <c:v>EXTENSION</c:v>
                </c:pt>
                <c:pt idx="6">
                  <c:v>BIENESTAR UNIVERSITARIO</c:v>
                </c:pt>
              </c:strCache>
            </c:strRef>
          </c:cat>
          <c:val>
            <c:numRef>
              <c:f>('P.ACCION-SUBSTEMA'!$DU$206,'P.ACCION-SUBSTEMA'!$DU$207,'P.ACCION-SUBSTEMA'!$DU$208,'P.ACCION-SUBSTEMA'!$DU$209,'P.ACCION-SUBSTEMA'!$DU$210,'P.ACCION-SUBSTEMA'!$DU$211,'P.ACCION-SUBSTEMA'!$DU$212)</c:f>
              <c:numCache>
                <c:formatCode>#,##0</c:formatCode>
                <c:ptCount val="7"/>
                <c:pt idx="0">
                  <c:v>6430982529</c:v>
                </c:pt>
                <c:pt idx="1">
                  <c:v>3897145153</c:v>
                </c:pt>
                <c:pt idx="2">
                  <c:v>1304253184</c:v>
                </c:pt>
                <c:pt idx="3">
                  <c:v>6482517969</c:v>
                </c:pt>
                <c:pt idx="4">
                  <c:v>1430700000</c:v>
                </c:pt>
                <c:pt idx="5">
                  <c:v>2958507753</c:v>
                </c:pt>
                <c:pt idx="6">
                  <c:v>2513486886</c:v>
                </c:pt>
              </c:numCache>
            </c:numRef>
          </c:val>
        </c:ser>
        <c:ser>
          <c:idx val="1"/>
          <c:order val="1"/>
          <c:tx>
            <c:v>EJECUCION</c:v>
          </c:tx>
          <c:invertIfNegative val="0"/>
          <c:dLbls>
            <c:dLbl>
              <c:idx val="0"/>
              <c:layout>
                <c:manualLayout>
                  <c:x val="1.8943533697632058E-2"/>
                  <c:y val="-8.904977072276279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3315118397085638E-2"/>
                  <c:y val="8.904977072276279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47723132969034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7887067395264117E-2"/>
                  <c:y val="-4.85731633272616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331511839708561E-2"/>
                  <c:y val="-2.42865816636317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7486338797814208E-2"/>
                  <c:y val="8.904977072276279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('P.ACCION-SUBSTEMA'!$DT$206,'P.ACCION-SUBSTEMA'!$DT$207,'P.ACCION-SUBSTEMA'!$DT$208,'P.ACCION-SUBSTEMA'!$DT$209,'P.ACCION-SUBSTEMA'!$DT$210,'P.ACCION-SUBSTEMA'!$DT$211,'P.ACCION-SUBSTEMA'!$DT$212)</c:f>
              <c:strCache>
                <c:ptCount val="7"/>
                <c:pt idx="0">
                  <c:v>CONSTRUCCIONES</c:v>
                </c:pt>
                <c:pt idx="1">
                  <c:v>ADQUISICION EQUIPOS</c:v>
                </c:pt>
                <c:pt idx="2">
                  <c:v>CAPACITACION</c:v>
                </c:pt>
                <c:pt idx="3">
                  <c:v>INVESTIGACIONES</c:v>
                </c:pt>
                <c:pt idx="4">
                  <c:v>PLANEACION</c:v>
                </c:pt>
                <c:pt idx="5">
                  <c:v>EXTENSION</c:v>
                </c:pt>
                <c:pt idx="6">
                  <c:v>BIENESTAR UNIVERSITARIO</c:v>
                </c:pt>
              </c:strCache>
            </c:strRef>
          </c:cat>
          <c:val>
            <c:numRef>
              <c:f>('P.ACCION-SUBSTEMA'!$DV$206,'P.ACCION-SUBSTEMA'!$DV$207,'P.ACCION-SUBSTEMA'!$DV$208,'P.ACCION-SUBSTEMA'!$DV$209,'P.ACCION-SUBSTEMA'!$DV$210,'P.ACCION-SUBSTEMA'!$DV$211,'P.ACCION-SUBSTEMA'!$DV$212)</c:f>
              <c:numCache>
                <c:formatCode>"$"\ #,##0;[Red]\("$"\ #,##0\)</c:formatCode>
                <c:ptCount val="7"/>
                <c:pt idx="0">
                  <c:v>1897722132</c:v>
                </c:pt>
                <c:pt idx="1">
                  <c:v>1788793331</c:v>
                </c:pt>
                <c:pt idx="2">
                  <c:v>565520784</c:v>
                </c:pt>
                <c:pt idx="3">
                  <c:v>3115857051</c:v>
                </c:pt>
                <c:pt idx="4">
                  <c:v>719562117</c:v>
                </c:pt>
                <c:pt idx="5">
                  <c:v>1638726933</c:v>
                </c:pt>
                <c:pt idx="6">
                  <c:v>1889977571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95834880"/>
        <c:axId val="95844224"/>
      </c:barChart>
      <c:catAx>
        <c:axId val="95834880"/>
        <c:scaling>
          <c:orientation val="minMax"/>
        </c:scaling>
        <c:delete val="0"/>
        <c:axPos val="b"/>
        <c:majorTickMark val="none"/>
        <c:minorTickMark val="none"/>
        <c:tickLblPos val="nextTo"/>
        <c:crossAx val="95844224"/>
        <c:crosses val="autoZero"/>
        <c:auto val="1"/>
        <c:lblAlgn val="ctr"/>
        <c:lblOffset val="100"/>
        <c:noMultiLvlLbl val="0"/>
      </c:catAx>
      <c:valAx>
        <c:axId val="958442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9583488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3272876955954278"/>
          <c:y val="0.93236187006678806"/>
          <c:w val="0.19995713035870516"/>
          <c:h val="4.3837365783822475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% DE EJECUCION A AGOSTO DE 2015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39741816505302E-2"/>
          <c:y val="0.13929758685061727"/>
          <c:w val="0.95942830797602585"/>
          <c:h val="0.6908918383768009"/>
        </c:manualLayout>
      </c:layout>
      <c:bar3DChart>
        <c:barDir val="col"/>
        <c:grouping val="clustered"/>
        <c:varyColors val="0"/>
        <c:ser>
          <c:idx val="0"/>
          <c:order val="0"/>
          <c:tx>
            <c:v>% DE EJECUCION</c:v>
          </c:tx>
          <c:invertIfNegative val="0"/>
          <c:dLbls>
            <c:dLbl>
              <c:idx val="0"/>
              <c:layout>
                <c:manualLayout>
                  <c:x val="1.4753342554172429E-2"/>
                  <c:y val="-3.0534359302053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4753342554172429E-2"/>
                  <c:y val="-2.0356239534702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6597510373443983E-2"/>
                  <c:y val="-1.3570826356468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6597510373443983E-2"/>
                  <c:y val="-2.03562395347023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1065006915629323E-2"/>
                  <c:y val="-2.03562395347023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('P.ACCION-SUBSTEMA'!$D$266,'P.ACCION-SUBSTEMA'!$D$267,'P.ACCION-SUBSTEMA'!$D$268,'P.ACCION-SUBSTEMA'!$D$269,'P.ACCION-SUBSTEMA'!$D$270)</c:f>
              <c:strCache>
                <c:ptCount val="5"/>
                <c:pt idx="0">
                  <c:v>FORMACION</c:v>
                </c:pt>
                <c:pt idx="1">
                  <c:v>INVESTIGACION</c:v>
                </c:pt>
                <c:pt idx="2">
                  <c:v>PROY. SOCIAL</c:v>
                </c:pt>
                <c:pt idx="3">
                  <c:v>BIENESTAR</c:v>
                </c:pt>
                <c:pt idx="4">
                  <c:v>ADMINISTRATIVO</c:v>
                </c:pt>
              </c:strCache>
            </c:strRef>
          </c:cat>
          <c:val>
            <c:numRef>
              <c:f>('P.ACCION-SUBSTEMA'!$F$266,'P.ACCION-SUBSTEMA'!$F$267,'P.ACCION-SUBSTEMA'!$F$268,'P.ACCION-SUBSTEMA'!$F$269,'P.ACCION-SUBSTEMA'!$F$270)</c:f>
              <c:numCache>
                <c:formatCode>0.00%</c:formatCode>
                <c:ptCount val="5"/>
                <c:pt idx="0">
                  <c:v>0.41439434607136599</c:v>
                </c:pt>
                <c:pt idx="1">
                  <c:v>0.48065536661839064</c:v>
                </c:pt>
                <c:pt idx="2">
                  <c:v>0.55390320722948605</c:v>
                </c:pt>
                <c:pt idx="3">
                  <c:v>0.75193452630570046</c:v>
                </c:pt>
                <c:pt idx="4">
                  <c:v>0.37482176358773756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97723136"/>
        <c:axId val="98408320"/>
        <c:axId val="0"/>
      </c:bar3DChart>
      <c:catAx>
        <c:axId val="97723136"/>
        <c:scaling>
          <c:orientation val="minMax"/>
        </c:scaling>
        <c:delete val="0"/>
        <c:axPos val="b"/>
        <c:majorTickMark val="none"/>
        <c:minorTickMark val="none"/>
        <c:tickLblPos val="nextTo"/>
        <c:crossAx val="98408320"/>
        <c:crosses val="autoZero"/>
        <c:auto val="1"/>
        <c:lblAlgn val="ctr"/>
        <c:lblOffset val="100"/>
        <c:noMultiLvlLbl val="0"/>
      </c:catAx>
      <c:valAx>
        <c:axId val="98408320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9772313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9563513067090678"/>
          <c:y val="0.92951692132446984"/>
          <c:w val="0.17553457270123393"/>
          <c:h val="4.4386486448942171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1362075</xdr:colOff>
      <xdr:row>201</xdr:row>
      <xdr:rowOff>85725</xdr:rowOff>
    </xdr:from>
    <xdr:to>
      <xdr:col>57</xdr:col>
      <xdr:colOff>628650</xdr:colOff>
      <xdr:row>227</xdr:row>
      <xdr:rowOff>152400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1590675</xdr:colOff>
      <xdr:row>235</xdr:row>
      <xdr:rowOff>19050</xdr:rowOff>
    </xdr:from>
    <xdr:to>
      <xdr:col>79</xdr:col>
      <xdr:colOff>352425</xdr:colOff>
      <xdr:row>262</xdr:row>
      <xdr:rowOff>114300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504825</xdr:colOff>
      <xdr:row>264</xdr:row>
      <xdr:rowOff>66676</xdr:rowOff>
    </xdr:from>
    <xdr:to>
      <xdr:col>122</xdr:col>
      <xdr:colOff>476250</xdr:colOff>
      <xdr:row>284</xdr:row>
      <xdr:rowOff>0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ON%202015/ANTEPROYECTO%20PRESUPUSTO%202015/INFORME%20PRESUPUESTAL%202015/AGOSTO%20DE%20201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~1/AppData/Local/Temp/INFORME%20PRESUPUESTAL%202015/MAYO%20DE%20201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ON%202015/ANTEPROYECTO%20PRESUPUSTO%202015/POAI%20CASA%202015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ON%202015/ANTEPROYECTO%20PRESUPUSTO%202015/INFORME%20PRESUPUESTAL%202015/JULIO%20DE%20201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~1/AppData/Local/Temp/INFORME%20PRESUPUESTAL%202015/ABRIL%20DE%202015-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~1/AppData/Local/Temp/INFORME%20PRESUPUESTAL%202015/MARZO%20201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~1/AppData/Local/Temp/INFORME%20PRESUPUESTAL%202015/FEBRERO%20201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ON%202015/ANTEPROYECTO%20PRESUPUSTO%202015/INFORME%20PRESUPUESTAL%202015/Copia%20de%20JUNIO%202015-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YO%202015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FEBRERO%20201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ON%202015/EJECUCION%20MENSUAL%20PLAN%20DE%20ACCION%202015/ANTEPROYECTO%20PRESUPUSTO%202015/INFORME%20PRESUPUESTAL%202015/ENERO%20201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5"/>
    </sheetNames>
    <sheetDataSet>
      <sheetData sheetId="0">
        <row r="33">
          <cell r="N33">
            <v>17503290</v>
          </cell>
        </row>
        <row r="34">
          <cell r="H34">
            <v>573913088</v>
          </cell>
        </row>
        <row r="43">
          <cell r="G43">
            <v>12442500</v>
          </cell>
        </row>
        <row r="45">
          <cell r="H45">
            <v>4948972</v>
          </cell>
        </row>
        <row r="47">
          <cell r="H47">
            <v>5160000</v>
          </cell>
        </row>
        <row r="50">
          <cell r="H50">
            <v>2441568</v>
          </cell>
        </row>
        <row r="125">
          <cell r="M125">
            <v>662327926</v>
          </cell>
        </row>
        <row r="126">
          <cell r="H126">
            <v>233295861</v>
          </cell>
        </row>
        <row r="128">
          <cell r="H128">
            <v>201817262</v>
          </cell>
        </row>
        <row r="130">
          <cell r="H130">
            <v>15385200</v>
          </cell>
        </row>
        <row r="133">
          <cell r="H133">
            <v>17467744</v>
          </cell>
        </row>
        <row r="135">
          <cell r="H135">
            <v>33543093</v>
          </cell>
        </row>
        <row r="137">
          <cell r="H137">
            <v>8750000</v>
          </cell>
        </row>
        <row r="139">
          <cell r="H139">
            <v>140887203</v>
          </cell>
        </row>
        <row r="141">
          <cell r="H141">
            <v>10929600</v>
          </cell>
        </row>
        <row r="156">
          <cell r="G156">
            <v>72115000</v>
          </cell>
          <cell r="H156">
            <v>21261400</v>
          </cell>
        </row>
        <row r="214">
          <cell r="H214">
            <v>372698968</v>
          </cell>
        </row>
        <row r="231">
          <cell r="H231">
            <v>96000000</v>
          </cell>
        </row>
        <row r="233">
          <cell r="M233">
            <v>96000000</v>
          </cell>
        </row>
        <row r="276">
          <cell r="H276">
            <v>14638234</v>
          </cell>
        </row>
        <row r="284">
          <cell r="H284">
            <v>21204410</v>
          </cell>
        </row>
        <row r="305">
          <cell r="H305">
            <v>167851094</v>
          </cell>
        </row>
        <row r="321">
          <cell r="M321">
            <v>262308520</v>
          </cell>
        </row>
        <row r="322">
          <cell r="H322">
            <v>683305</v>
          </cell>
        </row>
        <row r="325">
          <cell r="H325">
            <v>8515000</v>
          </cell>
        </row>
        <row r="328">
          <cell r="H328">
            <v>40722000</v>
          </cell>
        </row>
        <row r="330">
          <cell r="H330">
            <v>104322000</v>
          </cell>
        </row>
        <row r="333">
          <cell r="H333">
            <v>3080000</v>
          </cell>
        </row>
        <row r="335">
          <cell r="H335">
            <v>3284000</v>
          </cell>
        </row>
        <row r="339">
          <cell r="AD339">
            <v>3525240</v>
          </cell>
        </row>
        <row r="383">
          <cell r="H383">
            <v>12240044</v>
          </cell>
        </row>
        <row r="401">
          <cell r="AC401">
            <v>92524043</v>
          </cell>
        </row>
        <row r="438">
          <cell r="H438">
            <v>196858180</v>
          </cell>
        </row>
        <row r="440">
          <cell r="O440">
            <v>154777628</v>
          </cell>
          <cell r="AD440">
            <v>84754141</v>
          </cell>
        </row>
        <row r="441">
          <cell r="H441">
            <v>23229331</v>
          </cell>
        </row>
        <row r="465">
          <cell r="H465">
            <v>8205357</v>
          </cell>
        </row>
        <row r="471">
          <cell r="H471">
            <v>4644074</v>
          </cell>
        </row>
        <row r="490">
          <cell r="H490">
            <v>5812148</v>
          </cell>
        </row>
        <row r="571">
          <cell r="H571">
            <v>559120</v>
          </cell>
        </row>
        <row r="633">
          <cell r="H633">
            <v>830522</v>
          </cell>
        </row>
        <row r="652">
          <cell r="H652">
            <v>126849675</v>
          </cell>
        </row>
        <row r="654">
          <cell r="P654">
            <v>99680675</v>
          </cell>
        </row>
        <row r="655">
          <cell r="H655">
            <v>858690</v>
          </cell>
        </row>
        <row r="656">
          <cell r="H656">
            <v>2000000</v>
          </cell>
        </row>
        <row r="657">
          <cell r="H657">
            <v>1500000</v>
          </cell>
        </row>
        <row r="658">
          <cell r="H658">
            <v>16318500</v>
          </cell>
        </row>
        <row r="660">
          <cell r="H660">
            <v>1448735</v>
          </cell>
        </row>
        <row r="662">
          <cell r="H662">
            <v>7051825</v>
          </cell>
        </row>
        <row r="701">
          <cell r="H701">
            <v>158967073</v>
          </cell>
        </row>
        <row r="805">
          <cell r="H805">
            <v>8586672</v>
          </cell>
        </row>
        <row r="820">
          <cell r="H820">
            <v>34078248</v>
          </cell>
        </row>
        <row r="838">
          <cell r="H838">
            <v>31238612</v>
          </cell>
        </row>
        <row r="851">
          <cell r="H851">
            <v>55832905</v>
          </cell>
        </row>
        <row r="864">
          <cell r="H864">
            <v>21234417</v>
          </cell>
        </row>
        <row r="910">
          <cell r="H910">
            <v>21520377</v>
          </cell>
        </row>
        <row r="943">
          <cell r="W943">
            <v>298208000</v>
          </cell>
        </row>
        <row r="944">
          <cell r="H944">
            <v>9487500</v>
          </cell>
        </row>
        <row r="946">
          <cell r="H946">
            <v>198389800</v>
          </cell>
        </row>
        <row r="997">
          <cell r="AD997">
            <v>15200000</v>
          </cell>
        </row>
        <row r="998">
          <cell r="H998">
            <v>1000000</v>
          </cell>
        </row>
        <row r="999">
          <cell r="H999">
            <v>20240000</v>
          </cell>
        </row>
        <row r="1001">
          <cell r="H1001">
            <v>17084000</v>
          </cell>
        </row>
        <row r="1003">
          <cell r="H1003">
            <v>87179834</v>
          </cell>
        </row>
        <row r="1022">
          <cell r="H1022">
            <v>1000000</v>
          </cell>
        </row>
        <row r="1024">
          <cell r="H1024">
            <v>772800</v>
          </cell>
        </row>
        <row r="1025">
          <cell r="H1025">
            <v>1125000</v>
          </cell>
        </row>
        <row r="1030">
          <cell r="H1030">
            <v>1200000</v>
          </cell>
        </row>
        <row r="1050">
          <cell r="H1050">
            <v>8936592</v>
          </cell>
        </row>
        <row r="1052">
          <cell r="H1052">
            <v>108815808</v>
          </cell>
        </row>
        <row r="1057">
          <cell r="H1057">
            <v>7946612</v>
          </cell>
        </row>
        <row r="1059">
          <cell r="H1059">
            <v>33448902</v>
          </cell>
        </row>
        <row r="1061">
          <cell r="H1061">
            <v>29186886</v>
          </cell>
        </row>
        <row r="1062">
          <cell r="H1062">
            <v>18551098</v>
          </cell>
        </row>
        <row r="1064">
          <cell r="H1064">
            <v>5308830</v>
          </cell>
        </row>
        <row r="1066">
          <cell r="H1066">
            <v>9000000</v>
          </cell>
        </row>
        <row r="1068">
          <cell r="H1068">
            <v>1157000</v>
          </cell>
        </row>
        <row r="1074">
          <cell r="H1074">
            <v>10435017</v>
          </cell>
        </row>
        <row r="1093">
          <cell r="H1093">
            <v>115983000</v>
          </cell>
        </row>
        <row r="1135">
          <cell r="H1135">
            <v>42473434</v>
          </cell>
        </row>
        <row r="1208">
          <cell r="H1208">
            <v>48747161</v>
          </cell>
        </row>
        <row r="1265">
          <cell r="H1265">
            <v>1064000</v>
          </cell>
        </row>
        <row r="1279">
          <cell r="H1279">
            <v>3087000</v>
          </cell>
        </row>
        <row r="1286">
          <cell r="H1286">
            <v>68403590</v>
          </cell>
        </row>
        <row r="1349">
          <cell r="H1349">
            <v>19911458</v>
          </cell>
        </row>
        <row r="1370">
          <cell r="H1370">
            <v>12868794</v>
          </cell>
        </row>
        <row r="1393">
          <cell r="H1393">
            <v>3000000</v>
          </cell>
        </row>
        <row r="1401">
          <cell r="H1401">
            <v>28000</v>
          </cell>
        </row>
        <row r="1417">
          <cell r="H1417">
            <v>44239789</v>
          </cell>
        </row>
        <row r="1429">
          <cell r="H1429">
            <v>3795000</v>
          </cell>
        </row>
        <row r="1430">
          <cell r="H1430">
            <v>1086000</v>
          </cell>
        </row>
        <row r="1432">
          <cell r="H1432">
            <v>82718083</v>
          </cell>
        </row>
        <row r="1481">
          <cell r="H1481">
            <v>127534316</v>
          </cell>
        </row>
        <row r="1534">
          <cell r="H1534">
            <v>74129574</v>
          </cell>
        </row>
        <row r="1562">
          <cell r="H1562">
            <v>3433995</v>
          </cell>
        </row>
        <row r="1591">
          <cell r="H1591">
            <v>477702868</v>
          </cell>
        </row>
        <row r="1644">
          <cell r="H1644">
            <v>237292</v>
          </cell>
        </row>
        <row r="1699">
          <cell r="H1699">
            <v>625958231</v>
          </cell>
        </row>
        <row r="1701">
          <cell r="V1701">
            <v>1776515622</v>
          </cell>
        </row>
        <row r="1817">
          <cell r="H1817">
            <v>127851140</v>
          </cell>
        </row>
        <row r="1842">
          <cell r="H1842">
            <v>62534661</v>
          </cell>
        </row>
        <row r="1852">
          <cell r="H1852">
            <v>128637860</v>
          </cell>
        </row>
        <row r="1859">
          <cell r="H1859">
            <v>10146261</v>
          </cell>
        </row>
        <row r="1873">
          <cell r="H1873">
            <v>30655090</v>
          </cell>
        </row>
        <row r="1942">
          <cell r="H1942">
            <v>6000000</v>
          </cell>
        </row>
        <row r="1944">
          <cell r="W1944">
            <v>6000000</v>
          </cell>
        </row>
        <row r="1958">
          <cell r="H1958">
            <v>9996767</v>
          </cell>
        </row>
        <row r="1960">
          <cell r="W1960">
            <v>9996767</v>
          </cell>
        </row>
        <row r="1975">
          <cell r="H1975">
            <v>33527912</v>
          </cell>
        </row>
        <row r="1977">
          <cell r="W1977">
            <v>33527912</v>
          </cell>
        </row>
        <row r="1999">
          <cell r="H1999">
            <v>800000</v>
          </cell>
        </row>
        <row r="2001">
          <cell r="O2001">
            <v>800000</v>
          </cell>
        </row>
        <row r="2010">
          <cell r="H2010">
            <v>5100000</v>
          </cell>
        </row>
        <row r="2012">
          <cell r="O2012">
            <v>6625600</v>
          </cell>
        </row>
        <row r="2039">
          <cell r="H2039">
            <v>38955845</v>
          </cell>
        </row>
        <row r="2041">
          <cell r="AD2041">
            <v>53296107</v>
          </cell>
        </row>
        <row r="2072">
          <cell r="H2072">
            <v>168347392</v>
          </cell>
        </row>
        <row r="2113">
          <cell r="H2113">
            <v>13440000</v>
          </cell>
        </row>
        <row r="2115">
          <cell r="H2115">
            <v>12960000</v>
          </cell>
        </row>
        <row r="2117">
          <cell r="H2117">
            <v>14365428</v>
          </cell>
        </row>
        <row r="2119">
          <cell r="H2119">
            <v>8458333</v>
          </cell>
        </row>
        <row r="2121">
          <cell r="H2121">
            <v>25150000</v>
          </cell>
        </row>
        <row r="2168">
          <cell r="H2168">
            <v>18163197</v>
          </cell>
        </row>
        <row r="2170">
          <cell r="W2170">
            <v>34864864</v>
          </cell>
        </row>
        <row r="2243">
          <cell r="Y2243">
            <v>5703720</v>
          </cell>
        </row>
        <row r="2265">
          <cell r="H2265">
            <v>74061157</v>
          </cell>
        </row>
        <row r="2267">
          <cell r="O2267">
            <v>74061157</v>
          </cell>
        </row>
        <row r="2287">
          <cell r="H2287">
            <v>57876300</v>
          </cell>
        </row>
        <row r="2289">
          <cell r="O2289">
            <v>67276300</v>
          </cell>
        </row>
        <row r="2317">
          <cell r="H2317">
            <v>23930000</v>
          </cell>
        </row>
        <row r="2319">
          <cell r="O2319">
            <v>30000000</v>
          </cell>
        </row>
        <row r="2329">
          <cell r="G2329">
            <v>99940000</v>
          </cell>
          <cell r="H2329">
            <v>80144495</v>
          </cell>
        </row>
        <row r="2410">
          <cell r="H2410">
            <v>14888393</v>
          </cell>
        </row>
        <row r="2444">
          <cell r="H2444">
            <v>193494448</v>
          </cell>
        </row>
        <row r="2511">
          <cell r="H2511">
            <v>27772892</v>
          </cell>
        </row>
        <row r="2545">
          <cell r="H2545">
            <v>5075010</v>
          </cell>
        </row>
        <row r="2570">
          <cell r="H2570">
            <v>247167734</v>
          </cell>
        </row>
        <row r="2654">
          <cell r="AD2654">
            <v>4550000</v>
          </cell>
        </row>
        <row r="2661">
          <cell r="H2661">
            <v>189398040</v>
          </cell>
        </row>
        <row r="2737">
          <cell r="H2737">
            <v>4697418</v>
          </cell>
        </row>
        <row r="2755">
          <cell r="H2755">
            <v>25243919</v>
          </cell>
        </row>
        <row r="2792">
          <cell r="H2792">
            <v>63277331</v>
          </cell>
        </row>
        <row r="2835">
          <cell r="H2835">
            <v>394173684</v>
          </cell>
        </row>
        <row r="2909">
          <cell r="H2909">
            <v>3547686</v>
          </cell>
        </row>
        <row r="2921">
          <cell r="H2921">
            <v>104600638</v>
          </cell>
        </row>
        <row r="2923">
          <cell r="V2923">
            <v>221128226</v>
          </cell>
        </row>
        <row r="2986">
          <cell r="H2986">
            <v>11809333</v>
          </cell>
        </row>
        <row r="3018">
          <cell r="H3018">
            <v>21125500</v>
          </cell>
        </row>
        <row r="3027">
          <cell r="H3027">
            <v>646074</v>
          </cell>
        </row>
        <row r="3044">
          <cell r="H3044">
            <v>52139771</v>
          </cell>
        </row>
        <row r="3050">
          <cell r="H3050">
            <v>31830886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5"/>
    </sheetNames>
    <sheetDataSet>
      <sheetData sheetId="0">
        <row r="79">
          <cell r="L79">
            <v>375890110</v>
          </cell>
        </row>
        <row r="662">
          <cell r="H662">
            <v>1000000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AI 2015"/>
      <sheetName val="memoria traslado"/>
      <sheetName val="POAI ACUERDO 007-FEB-13- 2015 "/>
      <sheetName val="POAI ACUERD 014 DEL 13-MAR 2015"/>
      <sheetName val="POAI AC. 025 DEL 15-MAYO 2015"/>
      <sheetName val="POAI AC. 032  DEL 18-JUNIO "/>
    </sheetNames>
    <sheetDataSet>
      <sheetData sheetId="0"/>
      <sheetData sheetId="1"/>
      <sheetData sheetId="2"/>
      <sheetData sheetId="3"/>
      <sheetData sheetId="4"/>
      <sheetData sheetId="5">
        <row r="51">
          <cell r="K51">
            <v>6430982529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5"/>
    </sheetNames>
    <sheetDataSet>
      <sheetData sheetId="0">
        <row r="28">
          <cell r="M28">
            <v>323401561</v>
          </cell>
        </row>
        <row r="138">
          <cell r="H138">
            <v>239600131</v>
          </cell>
        </row>
        <row r="140">
          <cell r="M140">
            <v>239614381</v>
          </cell>
        </row>
        <row r="208">
          <cell r="M208">
            <v>372698968</v>
          </cell>
        </row>
        <row r="236">
          <cell r="M236">
            <v>300000000</v>
          </cell>
        </row>
        <row r="273">
          <cell r="AD273">
            <v>61690692</v>
          </cell>
        </row>
        <row r="293">
          <cell r="M293">
            <v>182453104</v>
          </cell>
        </row>
        <row r="306">
          <cell r="AD306">
            <v>45131378</v>
          </cell>
        </row>
        <row r="332">
          <cell r="H332">
            <v>116640423</v>
          </cell>
        </row>
        <row r="347">
          <cell r="H347">
            <v>92095815</v>
          </cell>
        </row>
        <row r="358">
          <cell r="H358">
            <v>7976469</v>
          </cell>
        </row>
        <row r="363">
          <cell r="AD363">
            <v>5000000</v>
          </cell>
        </row>
        <row r="368">
          <cell r="AD368">
            <v>23149537</v>
          </cell>
        </row>
        <row r="577">
          <cell r="O577">
            <v>30000000</v>
          </cell>
        </row>
        <row r="596">
          <cell r="H596">
            <v>74259184</v>
          </cell>
        </row>
        <row r="716">
          <cell r="G716">
            <v>20000000</v>
          </cell>
        </row>
        <row r="771">
          <cell r="AD771">
            <v>29000000</v>
          </cell>
        </row>
        <row r="839">
          <cell r="AD839">
            <v>12000000</v>
          </cell>
        </row>
        <row r="928">
          <cell r="J928">
            <v>23688299</v>
          </cell>
          <cell r="Y928">
            <v>47034833</v>
          </cell>
        </row>
        <row r="1039">
          <cell r="H1039">
            <v>28003560</v>
          </cell>
        </row>
        <row r="1052">
          <cell r="Y1052">
            <v>13191895</v>
          </cell>
        </row>
        <row r="1079">
          <cell r="H1079">
            <v>13191895</v>
          </cell>
        </row>
        <row r="1091">
          <cell r="X1091">
            <v>64046971</v>
          </cell>
        </row>
        <row r="1097">
          <cell r="H1097">
            <v>14819076</v>
          </cell>
        </row>
        <row r="1106">
          <cell r="H1106">
            <v>25815097</v>
          </cell>
        </row>
        <row r="1127">
          <cell r="H1127">
            <v>6500000</v>
          </cell>
        </row>
        <row r="1192">
          <cell r="Y1192">
            <v>23611711</v>
          </cell>
        </row>
        <row r="1215">
          <cell r="Y1215">
            <v>25000000</v>
          </cell>
        </row>
        <row r="1233">
          <cell r="G1233">
            <v>8000000</v>
          </cell>
        </row>
        <row r="1386">
          <cell r="Y1386">
            <v>1450000</v>
          </cell>
        </row>
        <row r="1401">
          <cell r="H1401">
            <v>4000000</v>
          </cell>
        </row>
        <row r="1462">
          <cell r="AD1462">
            <v>6000000</v>
          </cell>
        </row>
        <row r="1469">
          <cell r="Y1469">
            <v>20000000</v>
          </cell>
        </row>
        <row r="1471">
          <cell r="H1471">
            <v>170298</v>
          </cell>
        </row>
        <row r="1473">
          <cell r="H1473">
            <v>12118400</v>
          </cell>
        </row>
        <row r="1477">
          <cell r="H1477">
            <v>1152000</v>
          </cell>
        </row>
        <row r="1480">
          <cell r="H1480">
            <v>3872100</v>
          </cell>
        </row>
        <row r="1485">
          <cell r="H1485">
            <v>6091600</v>
          </cell>
        </row>
        <row r="1490">
          <cell r="H1490">
            <v>862000</v>
          </cell>
        </row>
        <row r="1493">
          <cell r="H1493">
            <v>862000</v>
          </cell>
        </row>
        <row r="1496">
          <cell r="H1496">
            <v>8426494</v>
          </cell>
        </row>
        <row r="1502">
          <cell r="H1502">
            <v>3537000</v>
          </cell>
        </row>
        <row r="1504">
          <cell r="H1504">
            <v>10348145</v>
          </cell>
        </row>
        <row r="1506">
          <cell r="H1506">
            <v>14002131</v>
          </cell>
        </row>
        <row r="1511">
          <cell r="H1511">
            <v>6862056</v>
          </cell>
        </row>
        <row r="1634">
          <cell r="G1634">
            <v>2000000</v>
          </cell>
        </row>
        <row r="1691">
          <cell r="AD1691">
            <v>4000000</v>
          </cell>
        </row>
        <row r="1694">
          <cell r="H1694">
            <v>14408959</v>
          </cell>
        </row>
        <row r="1726">
          <cell r="H1726">
            <v>5833335</v>
          </cell>
        </row>
        <row r="1776">
          <cell r="H1776">
            <v>2628860</v>
          </cell>
        </row>
        <row r="1778">
          <cell r="AD1778">
            <v>19000000</v>
          </cell>
        </row>
        <row r="1878">
          <cell r="O1878">
            <v>79447782</v>
          </cell>
        </row>
        <row r="1891">
          <cell r="O1891">
            <v>7828112</v>
          </cell>
        </row>
        <row r="1957">
          <cell r="W1957">
            <v>3000000</v>
          </cell>
        </row>
        <row r="1958">
          <cell r="H1958">
            <v>10640000</v>
          </cell>
        </row>
        <row r="1962">
          <cell r="AD1962">
            <v>5000000</v>
          </cell>
        </row>
        <row r="1989">
          <cell r="H1989">
            <v>43238890</v>
          </cell>
        </row>
        <row r="1995">
          <cell r="H1995">
            <v>7178800</v>
          </cell>
        </row>
        <row r="1997">
          <cell r="H1997">
            <v>33047433</v>
          </cell>
        </row>
        <row r="2134">
          <cell r="H2134">
            <v>837000</v>
          </cell>
        </row>
        <row r="2136">
          <cell r="AD2136">
            <v>3000000</v>
          </cell>
        </row>
        <row r="2162">
          <cell r="H2162">
            <v>2198900</v>
          </cell>
        </row>
        <row r="2168">
          <cell r="AD2168">
            <v>4500000</v>
          </cell>
        </row>
        <row r="2241">
          <cell r="AD2241">
            <v>31000000</v>
          </cell>
        </row>
        <row r="2253">
          <cell r="AD2253">
            <v>3000000</v>
          </cell>
        </row>
        <row r="2291">
          <cell r="AD2291">
            <v>2898900</v>
          </cell>
        </row>
        <row r="2444">
          <cell r="AD2444">
            <v>6500000</v>
          </cell>
        </row>
        <row r="2527">
          <cell r="AD2527">
            <v>441543833</v>
          </cell>
        </row>
        <row r="2598">
          <cell r="AD2598">
            <v>9500000</v>
          </cell>
        </row>
        <row r="2631">
          <cell r="H2631">
            <v>8739200</v>
          </cell>
        </row>
        <row r="2656">
          <cell r="H2656">
            <v>7792400</v>
          </cell>
        </row>
        <row r="2722">
          <cell r="H2722">
            <v>110733333</v>
          </cell>
        </row>
        <row r="2743">
          <cell r="AD2743">
            <v>27579091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5"/>
    </sheetNames>
    <sheetDataSet>
      <sheetData sheetId="0">
        <row r="34">
          <cell r="H34">
            <v>359854078</v>
          </cell>
        </row>
        <row r="166">
          <cell r="H166">
            <v>8300998</v>
          </cell>
        </row>
        <row r="182">
          <cell r="G182">
            <v>244800000</v>
          </cell>
        </row>
        <row r="216">
          <cell r="H216">
            <v>239816980</v>
          </cell>
        </row>
        <row r="571">
          <cell r="H571">
            <v>100000000</v>
          </cell>
        </row>
        <row r="632">
          <cell r="H632">
            <v>870000000</v>
          </cell>
        </row>
        <row r="1057">
          <cell r="H1057">
            <v>7013333</v>
          </cell>
        </row>
        <row r="1101">
          <cell r="H1101">
            <v>15000000</v>
          </cell>
        </row>
        <row r="1104">
          <cell r="H1104">
            <v>3078500</v>
          </cell>
        </row>
        <row r="1115">
          <cell r="H1115">
            <v>3091000</v>
          </cell>
        </row>
        <row r="1128">
          <cell r="H1128">
            <v>4466293</v>
          </cell>
        </row>
        <row r="1193">
          <cell r="N1193">
            <v>10000000</v>
          </cell>
        </row>
        <row r="1194">
          <cell r="H1194">
            <v>10000000</v>
          </cell>
        </row>
        <row r="1316">
          <cell r="H1316">
            <v>949220</v>
          </cell>
        </row>
        <row r="1318">
          <cell r="V1318">
            <v>949220</v>
          </cell>
        </row>
        <row r="1527">
          <cell r="H1527">
            <v>1764945</v>
          </cell>
        </row>
        <row r="1544">
          <cell r="H1544">
            <v>19926000</v>
          </cell>
        </row>
        <row r="1649">
          <cell r="O1649">
            <v>140000000</v>
          </cell>
        </row>
        <row r="1730">
          <cell r="L1730">
            <v>40000000</v>
          </cell>
        </row>
        <row r="1744">
          <cell r="L1744">
            <v>10000000</v>
          </cell>
        </row>
        <row r="1822">
          <cell r="H1822">
            <v>8000000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5"/>
      <sheetName val="NOTAS"/>
    </sheetNames>
    <sheetDataSet>
      <sheetData sheetId="0">
        <row r="34">
          <cell r="H34">
            <v>353476253</v>
          </cell>
        </row>
        <row r="374">
          <cell r="O374">
            <v>80000000</v>
          </cell>
        </row>
        <row r="488">
          <cell r="J488">
            <v>80000000</v>
          </cell>
        </row>
        <row r="496">
          <cell r="W496">
            <v>100000000</v>
          </cell>
        </row>
        <row r="535">
          <cell r="V535">
            <v>15000000</v>
          </cell>
        </row>
        <row r="635">
          <cell r="Z635">
            <v>80844085</v>
          </cell>
        </row>
        <row r="700">
          <cell r="V700">
            <v>57329123</v>
          </cell>
        </row>
        <row r="1089">
          <cell r="H1089">
            <v>876100</v>
          </cell>
        </row>
        <row r="1091">
          <cell r="V1091">
            <v>876100</v>
          </cell>
        </row>
        <row r="1116">
          <cell r="N1116">
            <v>3000000</v>
          </cell>
        </row>
        <row r="1117">
          <cell r="H1117">
            <v>3000000</v>
          </cell>
        </row>
        <row r="1120">
          <cell r="H1120">
            <v>6828964</v>
          </cell>
        </row>
        <row r="1122">
          <cell r="N1122">
            <v>6829000</v>
          </cell>
        </row>
        <row r="1360">
          <cell r="O1360">
            <v>370000000</v>
          </cell>
        </row>
        <row r="1462">
          <cell r="O1462">
            <v>20000000</v>
          </cell>
        </row>
        <row r="1463">
          <cell r="O1463">
            <v>20000000</v>
          </cell>
        </row>
        <row r="1529">
          <cell r="L1529">
            <v>70000000</v>
          </cell>
          <cell r="N1529">
            <v>110733333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5"/>
      <sheetName val="NOTAS"/>
    </sheetNames>
    <sheetDataSet>
      <sheetData sheetId="0">
        <row r="72">
          <cell r="H72">
            <v>31700000</v>
          </cell>
        </row>
        <row r="228">
          <cell r="H228">
            <v>3525240</v>
          </cell>
        </row>
        <row r="334">
          <cell r="X334">
            <v>273344421</v>
          </cell>
        </row>
        <row r="469">
          <cell r="W469">
            <v>137800000</v>
          </cell>
        </row>
        <row r="585">
          <cell r="P585">
            <v>102810569</v>
          </cell>
          <cell r="Q585">
            <v>219471348</v>
          </cell>
        </row>
        <row r="740">
          <cell r="W740">
            <v>15000000</v>
          </cell>
        </row>
        <row r="753">
          <cell r="W753">
            <v>15000000</v>
          </cell>
        </row>
        <row r="759">
          <cell r="W759">
            <v>15000000</v>
          </cell>
        </row>
        <row r="763">
          <cell r="H763">
            <v>8000000</v>
          </cell>
        </row>
        <row r="852">
          <cell r="X852">
            <v>50000000</v>
          </cell>
        </row>
        <row r="864">
          <cell r="X864">
            <v>170000000</v>
          </cell>
        </row>
        <row r="1086">
          <cell r="W1086">
            <v>10000000</v>
          </cell>
        </row>
        <row r="1134">
          <cell r="W1134">
            <v>10000000</v>
          </cell>
        </row>
        <row r="1154">
          <cell r="O1154">
            <v>300000000</v>
          </cell>
        </row>
        <row r="1182">
          <cell r="O1182">
            <v>100000000</v>
          </cell>
        </row>
        <row r="1235">
          <cell r="O1235">
            <v>23014856</v>
          </cell>
        </row>
        <row r="1245">
          <cell r="W1245">
            <v>10000000</v>
          </cell>
        </row>
        <row r="1280">
          <cell r="N1280">
            <v>15000000</v>
          </cell>
        </row>
        <row r="1285">
          <cell r="N1285">
            <v>30000000</v>
          </cell>
        </row>
        <row r="1302">
          <cell r="W1302">
            <v>10000000</v>
          </cell>
        </row>
        <row r="1309">
          <cell r="N1309">
            <v>89266667</v>
          </cell>
          <cell r="W1309">
            <v>10000000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5"/>
    </sheetNames>
    <sheetDataSet>
      <sheetData sheetId="0">
        <row r="33">
          <cell r="M33">
            <v>586355590</v>
          </cell>
        </row>
        <row r="171">
          <cell r="H171">
            <v>189556618</v>
          </cell>
        </row>
        <row r="180">
          <cell r="M180">
            <v>8300998</v>
          </cell>
          <cell r="U180">
            <v>40655038</v>
          </cell>
        </row>
        <row r="210">
          <cell r="H210">
            <v>186695</v>
          </cell>
        </row>
        <row r="212">
          <cell r="M212">
            <v>930000</v>
          </cell>
        </row>
        <row r="235">
          <cell r="M235">
            <v>239816980</v>
          </cell>
        </row>
        <row r="297">
          <cell r="O297">
            <v>210000000</v>
          </cell>
          <cell r="Y297">
            <v>25530452</v>
          </cell>
        </row>
        <row r="749">
          <cell r="W749">
            <v>282584300</v>
          </cell>
        </row>
        <row r="780">
          <cell r="AD780">
            <v>5000000</v>
          </cell>
        </row>
        <row r="782">
          <cell r="H782">
            <v>3045000</v>
          </cell>
        </row>
        <row r="788">
          <cell r="W788">
            <v>52000000</v>
          </cell>
          <cell r="X788">
            <v>109019196</v>
          </cell>
          <cell r="Z788">
            <v>870000000</v>
          </cell>
        </row>
        <row r="866">
          <cell r="M866">
            <v>303820881</v>
          </cell>
          <cell r="O866">
            <v>40000000</v>
          </cell>
        </row>
        <row r="871">
          <cell r="H871">
            <v>300000000</v>
          </cell>
        </row>
        <row r="882">
          <cell r="H882">
            <v>3820881</v>
          </cell>
        </row>
        <row r="891">
          <cell r="K891">
            <v>7649518</v>
          </cell>
        </row>
        <row r="897">
          <cell r="K897">
            <v>61175928</v>
          </cell>
          <cell r="O897">
            <v>50000000</v>
          </cell>
        </row>
        <row r="898">
          <cell r="H898">
            <v>61175928</v>
          </cell>
        </row>
        <row r="924">
          <cell r="H924">
            <v>20000000</v>
          </cell>
        </row>
        <row r="956">
          <cell r="O956">
            <v>10000000</v>
          </cell>
        </row>
        <row r="970">
          <cell r="O970">
            <v>70000000</v>
          </cell>
        </row>
        <row r="1009">
          <cell r="K1009">
            <v>9546220</v>
          </cell>
          <cell r="P1009">
            <v>20000000</v>
          </cell>
        </row>
        <row r="1010">
          <cell r="H1010">
            <v>9546220</v>
          </cell>
        </row>
        <row r="1023">
          <cell r="K1023">
            <v>2081930</v>
          </cell>
          <cell r="P1023">
            <v>20000000</v>
          </cell>
        </row>
        <row r="1062">
          <cell r="K1062">
            <v>4881000</v>
          </cell>
          <cell r="O1062">
            <v>90000000</v>
          </cell>
          <cell r="P1062">
            <v>15000000</v>
          </cell>
          <cell r="W1062">
            <v>10000000</v>
          </cell>
          <cell r="X1062">
            <v>122718083</v>
          </cell>
          <cell r="Y1062">
            <v>50000000</v>
          </cell>
        </row>
        <row r="1093">
          <cell r="H1093">
            <v>102810569</v>
          </cell>
        </row>
        <row r="1171">
          <cell r="H1171">
            <v>2594500</v>
          </cell>
        </row>
        <row r="1243">
          <cell r="K1243">
            <v>47440037</v>
          </cell>
          <cell r="O1243">
            <v>50000000</v>
          </cell>
        </row>
        <row r="1373">
          <cell r="H1373">
            <v>29661193</v>
          </cell>
        </row>
        <row r="1391">
          <cell r="M1391">
            <v>343263290</v>
          </cell>
        </row>
        <row r="1412">
          <cell r="M1412">
            <v>128637860</v>
          </cell>
          <cell r="O1412">
            <v>94180877</v>
          </cell>
        </row>
        <row r="1453">
          <cell r="Y1453">
            <v>45000000</v>
          </cell>
        </row>
        <row r="1466">
          <cell r="W1466">
            <v>11280016</v>
          </cell>
        </row>
        <row r="1613">
          <cell r="X1613">
            <v>2068912</v>
          </cell>
        </row>
        <row r="1614">
          <cell r="H1614">
            <v>819958</v>
          </cell>
        </row>
        <row r="1615">
          <cell r="H1615">
            <v>678356</v>
          </cell>
        </row>
        <row r="1616">
          <cell r="H1616">
            <v>570598</v>
          </cell>
        </row>
        <row r="1673">
          <cell r="W1673">
            <v>40000000</v>
          </cell>
          <cell r="X1673">
            <v>7640994</v>
          </cell>
        </row>
        <row r="1705">
          <cell r="O1705">
            <v>85000000</v>
          </cell>
          <cell r="Y1705">
            <v>1500000</v>
          </cell>
        </row>
        <row r="1861">
          <cell r="H1861">
            <v>298000</v>
          </cell>
        </row>
        <row r="1939">
          <cell r="H1939">
            <v>12228000</v>
          </cell>
        </row>
        <row r="2022">
          <cell r="H2022">
            <v>4550000</v>
          </cell>
        </row>
        <row r="2249">
          <cell r="X2249">
            <v>10000000</v>
          </cell>
        </row>
        <row r="2252">
          <cell r="H2252">
            <v>40000000</v>
          </cell>
        </row>
        <row r="2333">
          <cell r="H2333">
            <v>10000000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5"/>
    </sheetNames>
    <sheetDataSet>
      <sheetData sheetId="0">
        <row r="111">
          <cell r="H111">
            <v>435113123</v>
          </cell>
        </row>
        <row r="689">
          <cell r="H689">
            <v>2577400</v>
          </cell>
        </row>
        <row r="730">
          <cell r="H730">
            <v>100000000</v>
          </cell>
        </row>
        <row r="740">
          <cell r="H740">
            <v>180000000</v>
          </cell>
        </row>
        <row r="858">
          <cell r="H858">
            <v>2081930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5"/>
      <sheetName val="NOTAS"/>
    </sheetNames>
    <sheetDataSet>
      <sheetData sheetId="0" refreshError="1">
        <row r="31">
          <cell r="H31">
            <v>123318794</v>
          </cell>
        </row>
        <row r="196">
          <cell r="G196">
            <v>37000000</v>
          </cell>
        </row>
        <row r="490">
          <cell r="N490">
            <v>10000000</v>
          </cell>
        </row>
        <row r="495">
          <cell r="N495">
            <v>20000000</v>
          </cell>
        </row>
        <row r="501">
          <cell r="N501">
            <v>10000000</v>
          </cell>
        </row>
        <row r="511">
          <cell r="N511">
            <v>50000000</v>
          </cell>
        </row>
        <row r="565">
          <cell r="AC565">
            <v>7500000</v>
          </cell>
        </row>
        <row r="571">
          <cell r="AC571">
            <v>2000000</v>
          </cell>
        </row>
        <row r="658">
          <cell r="N658">
            <v>35000000</v>
          </cell>
        </row>
        <row r="661">
          <cell r="G661">
            <v>15000000</v>
          </cell>
        </row>
        <row r="685">
          <cell r="AC685">
            <v>5000000</v>
          </cell>
        </row>
        <row r="695">
          <cell r="X695">
            <v>5000000</v>
          </cell>
        </row>
        <row r="1017">
          <cell r="N1017">
            <v>50000000</v>
          </cell>
        </row>
        <row r="1024">
          <cell r="N1024">
            <v>50000000</v>
          </cell>
        </row>
        <row r="1029">
          <cell r="N1029">
            <v>200000000</v>
          </cell>
        </row>
        <row r="1070">
          <cell r="N1070">
            <v>30000000</v>
          </cell>
        </row>
        <row r="1086">
          <cell r="H1086">
            <v>770398</v>
          </cell>
        </row>
        <row r="1088">
          <cell r="AC1088">
            <v>5000000</v>
          </cell>
        </row>
        <row r="1172">
          <cell r="N1172">
            <v>30000000</v>
          </cell>
        </row>
        <row r="1187">
          <cell r="N1187">
            <v>30000000</v>
          </cell>
        </row>
        <row r="1192">
          <cell r="G1192">
            <v>10000000</v>
          </cell>
        </row>
        <row r="1199">
          <cell r="N1199">
            <v>10000000</v>
          </cell>
        </row>
        <row r="1216">
          <cell r="N1216">
            <v>50000000</v>
          </cell>
        </row>
        <row r="1221">
          <cell r="N1221">
            <v>44180877</v>
          </cell>
        </row>
        <row r="1228">
          <cell r="N1228">
            <v>10000000</v>
          </cell>
        </row>
      </sheetData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5"/>
      <sheetName val="CERTIF. VICEINVESTIGACIONES"/>
      <sheetName val="NOTAS"/>
    </sheetNames>
    <sheetDataSet>
      <sheetData sheetId="0">
        <row r="31">
          <cell r="H31">
            <v>87098666</v>
          </cell>
        </row>
        <row r="166">
          <cell r="AA166">
            <v>4200000</v>
          </cell>
        </row>
        <row r="295">
          <cell r="W295">
            <v>69014856</v>
          </cell>
        </row>
        <row r="301">
          <cell r="W301">
            <v>55000000</v>
          </cell>
        </row>
        <row r="305">
          <cell r="G305">
            <v>60000000</v>
          </cell>
        </row>
        <row r="326">
          <cell r="T326">
            <v>11406867</v>
          </cell>
          <cell r="W326">
            <v>73593133</v>
          </cell>
        </row>
        <row r="362">
          <cell r="W362">
            <v>15000000</v>
          </cell>
        </row>
        <row r="367">
          <cell r="W367">
            <v>15000000</v>
          </cell>
        </row>
        <row r="374">
          <cell r="T374">
            <v>50000000</v>
          </cell>
        </row>
        <row r="922">
          <cell r="L922">
            <v>20000000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T209"/>
  <sheetViews>
    <sheetView topLeftCell="BU1" zoomScaleNormal="100" zoomScalePageLayoutView="50" workbookViewId="0">
      <pane ySplit="3" topLeftCell="A181" activePane="bottomLeft" state="frozen"/>
      <selection activeCell="C1" sqref="C1"/>
      <selection pane="bottomLeft" activeCell="CA191" sqref="CA191"/>
    </sheetView>
  </sheetViews>
  <sheetFormatPr baseColWidth="10" defaultColWidth="11.42578125" defaultRowHeight="15" x14ac:dyDescent="0.25"/>
  <cols>
    <col min="1" max="1" width="12.85546875" hidden="1" customWidth="1"/>
    <col min="2" max="2" width="23.28515625" hidden="1" customWidth="1"/>
    <col min="3" max="3" width="10.140625" customWidth="1"/>
    <col min="4" max="4" width="25.140625" customWidth="1"/>
    <col min="5" max="5" width="6.85546875" customWidth="1"/>
    <col min="6" max="6" width="12.5703125" customWidth="1"/>
    <col min="7" max="9" width="12.5703125" hidden="1" customWidth="1"/>
    <col min="10" max="10" width="17.140625" hidden="1" customWidth="1"/>
    <col min="11" max="11" width="14.5703125" hidden="1" customWidth="1"/>
    <col min="12" max="12" width="14.28515625" hidden="1" customWidth="1"/>
    <col min="13" max="13" width="15" customWidth="1"/>
    <col min="14" max="14" width="13.28515625" customWidth="1"/>
    <col min="15" max="16" width="13.42578125" customWidth="1"/>
    <col min="17" max="17" width="14.42578125" customWidth="1"/>
    <col min="18" max="18" width="12.7109375" customWidth="1"/>
    <col min="19" max="19" width="13.7109375" customWidth="1"/>
    <col min="20" max="20" width="14.7109375" customWidth="1"/>
    <col min="21" max="21" width="12.85546875" customWidth="1"/>
    <col min="22" max="22" width="11.85546875" customWidth="1"/>
    <col min="23" max="23" width="11.42578125" customWidth="1"/>
    <col min="24" max="24" width="10.7109375" customWidth="1"/>
    <col min="25" max="25" width="12.42578125" customWidth="1"/>
    <col min="26" max="26" width="13.5703125" customWidth="1"/>
    <col min="27" max="27" width="14.42578125" customWidth="1"/>
    <col min="28" max="28" width="14.140625" customWidth="1"/>
    <col min="29" max="29" width="12.5703125" customWidth="1"/>
    <col min="30" max="30" width="14" customWidth="1"/>
    <col min="31" max="31" width="12.28515625" customWidth="1"/>
    <col min="32" max="32" width="12" customWidth="1"/>
    <col min="33" max="33" width="14.42578125" customWidth="1"/>
    <col min="34" max="34" width="1.140625" customWidth="1"/>
    <col min="35" max="35" width="11.85546875" customWidth="1"/>
    <col min="36" max="36" width="14.42578125" customWidth="1"/>
    <col min="37" max="37" width="15.5703125" customWidth="1"/>
    <col min="38" max="39" width="13.5703125" customWidth="1"/>
    <col min="40" max="40" width="14" customWidth="1"/>
    <col min="41" max="41" width="17.28515625" customWidth="1"/>
    <col min="42" max="42" width="16.1406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8" width="14.42578125" customWidth="1"/>
    <col min="49" max="49" width="14.140625" customWidth="1"/>
    <col min="50" max="50" width="13.28515625" customWidth="1"/>
    <col min="51" max="51" width="13.5703125" customWidth="1"/>
    <col min="52" max="52" width="13.42578125" customWidth="1"/>
    <col min="53" max="53" width="17.7109375" customWidth="1"/>
    <col min="54" max="54" width="14.85546875" customWidth="1"/>
    <col min="55" max="55" width="15.5703125" customWidth="1"/>
    <col min="56" max="56" width="13.85546875" customWidth="1"/>
    <col min="57" max="57" width="9.5703125" customWidth="1"/>
    <col min="58" max="58" width="14.28515625" customWidth="1"/>
    <col min="59" max="59" width="15.85546875" customWidth="1"/>
    <col min="60" max="61" width="14" customWidth="1"/>
    <col min="62" max="62" width="15.140625" customWidth="1"/>
    <col min="63" max="63" width="16.5703125" customWidth="1"/>
    <col min="64" max="64" width="13.5703125" customWidth="1"/>
    <col min="65" max="66" width="13.85546875" customWidth="1"/>
    <col min="67" max="68" width="12.28515625" customWidth="1"/>
    <col min="69" max="69" width="11.140625" customWidth="1"/>
    <col min="70" max="70" width="12.5703125" customWidth="1"/>
    <col min="71" max="71" width="13.5703125" customWidth="1"/>
    <col min="72" max="72" width="15.140625" customWidth="1"/>
    <col min="73" max="73" width="13.85546875" customWidth="1"/>
    <col min="74" max="74" width="15" customWidth="1"/>
    <col min="75" max="75" width="13.42578125" customWidth="1"/>
    <col min="76" max="76" width="13.5703125" customWidth="1"/>
    <col min="77" max="77" width="13.7109375" customWidth="1"/>
    <col min="78" max="78" width="14" customWidth="1"/>
    <col min="79" max="79" width="9" customWidth="1"/>
    <col min="80" max="80" width="14" customWidth="1"/>
    <col min="81" max="81" width="14.42578125" customWidth="1"/>
    <col min="82" max="83" width="12.28515625" customWidth="1"/>
    <col min="84" max="84" width="13.28515625" customWidth="1"/>
    <col min="85" max="85" width="14" customWidth="1"/>
    <col min="86" max="86" width="15.42578125" customWidth="1"/>
    <col min="87" max="87" width="15.28515625" customWidth="1"/>
    <col min="88" max="88" width="12.42578125" customWidth="1"/>
    <col min="89" max="89" width="11.7109375" customWidth="1"/>
    <col min="90" max="90" width="13.42578125" customWidth="1"/>
    <col min="91" max="91" width="11.42578125" customWidth="1"/>
    <col min="92" max="92" width="15.7109375" customWidth="1"/>
    <col min="93" max="93" width="16.28515625" customWidth="1"/>
    <col min="94" max="94" width="16.5703125" customWidth="1"/>
    <col min="95" max="95" width="17.140625" customWidth="1"/>
    <col min="96" max="96" width="13" customWidth="1"/>
    <col min="97" max="97" width="14.28515625" customWidth="1"/>
    <col min="98" max="98" width="13.7109375" customWidth="1"/>
    <col min="99" max="99" width="12.28515625" customWidth="1"/>
    <col min="100" max="100" width="13.42578125" customWidth="1"/>
    <col min="101" max="101" width="9.7109375" customWidth="1"/>
    <col min="102" max="102" width="15" customWidth="1"/>
    <col min="103" max="103" width="16" customWidth="1"/>
    <col min="104" max="105" width="13.7109375" customWidth="1"/>
    <col min="106" max="106" width="14.42578125" customWidth="1"/>
    <col min="107" max="107" width="15.5703125" customWidth="1"/>
    <col min="108" max="110" width="13.5703125" customWidth="1"/>
    <col min="111" max="112" width="13.85546875" customWidth="1"/>
    <col min="113" max="113" width="11.42578125" customWidth="1"/>
    <col min="114" max="114" width="13.7109375" customWidth="1"/>
    <col min="115" max="115" width="13.85546875" customWidth="1"/>
    <col min="116" max="116" width="12.28515625" customWidth="1"/>
    <col min="117" max="117" width="13.85546875" customWidth="1"/>
    <col min="118" max="118" width="16.5703125" customWidth="1"/>
    <col min="119" max="119" width="14.42578125" customWidth="1"/>
    <col min="120" max="121" width="14.85546875" customWidth="1"/>
    <col min="122" max="122" width="13.5703125" customWidth="1"/>
  </cols>
  <sheetData>
    <row r="1" spans="1:122" ht="18" customHeight="1" x14ac:dyDescent="0.3">
      <c r="C1" s="202" t="s">
        <v>560</v>
      </c>
      <c r="D1" s="203"/>
      <c r="E1" s="203"/>
      <c r="F1" s="204"/>
      <c r="G1" s="170"/>
      <c r="H1" s="170"/>
      <c r="I1" s="170"/>
      <c r="J1" s="170"/>
      <c r="K1" s="170"/>
      <c r="L1" s="170"/>
      <c r="M1" s="205" t="s">
        <v>559</v>
      </c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7"/>
      <c r="AI1" s="169"/>
      <c r="AJ1" s="208" t="s">
        <v>558</v>
      </c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10"/>
      <c r="BE1" s="166"/>
      <c r="BF1" s="168"/>
      <c r="BG1" s="167"/>
      <c r="BH1" s="197" t="s">
        <v>556</v>
      </c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9"/>
      <c r="CB1" s="197" t="s">
        <v>557</v>
      </c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9"/>
      <c r="CW1" s="166"/>
      <c r="CX1" s="197" t="s">
        <v>556</v>
      </c>
      <c r="CY1" s="198"/>
      <c r="CZ1" s="198"/>
      <c r="DA1" s="198"/>
      <c r="DB1" s="198"/>
      <c r="DC1" s="198"/>
      <c r="DD1" s="198"/>
      <c r="DE1" s="198"/>
      <c r="DF1" s="198"/>
      <c r="DG1" s="198"/>
      <c r="DH1" s="198"/>
      <c r="DI1" s="198"/>
      <c r="DJ1" s="198"/>
      <c r="DK1" s="198"/>
      <c r="DL1" s="198"/>
      <c r="DM1" s="198"/>
      <c r="DN1" s="198"/>
      <c r="DO1" s="198"/>
      <c r="DP1" s="198"/>
      <c r="DQ1" s="198"/>
      <c r="DR1" s="198"/>
    </row>
    <row r="2" spans="1:122" ht="15.6" customHeight="1" x14ac:dyDescent="0.25">
      <c r="A2" s="217" t="s">
        <v>555</v>
      </c>
      <c r="B2" s="200" t="s">
        <v>554</v>
      </c>
      <c r="C2" s="218" t="s">
        <v>553</v>
      </c>
      <c r="D2" s="217" t="s">
        <v>552</v>
      </c>
      <c r="E2" s="220" t="s">
        <v>551</v>
      </c>
      <c r="F2" s="200" t="s">
        <v>550</v>
      </c>
      <c r="G2" s="165"/>
      <c r="H2" s="165"/>
      <c r="I2" s="165"/>
      <c r="J2" s="165"/>
      <c r="K2" s="165"/>
      <c r="L2" s="165"/>
      <c r="M2" s="214" t="s">
        <v>549</v>
      </c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5"/>
      <c r="AF2" s="215"/>
      <c r="AG2" s="216"/>
      <c r="AI2" s="164"/>
      <c r="AJ2" s="222" t="s">
        <v>548</v>
      </c>
      <c r="AK2" s="223"/>
      <c r="AL2" s="223"/>
      <c r="AM2" s="223"/>
      <c r="AN2" s="223"/>
      <c r="AO2" s="223"/>
      <c r="AP2" s="223"/>
      <c r="AQ2" s="223"/>
      <c r="AR2" s="223"/>
      <c r="AS2" s="223"/>
      <c r="AT2" s="223"/>
      <c r="AU2" s="223"/>
      <c r="AV2" s="223"/>
      <c r="AW2" s="223"/>
      <c r="AX2" s="223"/>
      <c r="AY2" s="223"/>
      <c r="AZ2" s="223"/>
      <c r="BA2" s="223"/>
      <c r="BB2" s="223"/>
      <c r="BC2" s="223"/>
      <c r="BD2" s="224"/>
      <c r="BE2" s="163"/>
      <c r="BF2" s="162"/>
      <c r="BG2" s="161"/>
      <c r="BH2" s="211" t="s">
        <v>547</v>
      </c>
      <c r="BI2" s="212"/>
      <c r="BJ2" s="212"/>
      <c r="BK2" s="212"/>
      <c r="BL2" s="212"/>
      <c r="BM2" s="212"/>
      <c r="BN2" s="212"/>
      <c r="BO2" s="212"/>
      <c r="BP2" s="212"/>
      <c r="BQ2" s="213"/>
      <c r="BR2" s="211" t="s">
        <v>547</v>
      </c>
      <c r="BS2" s="212"/>
      <c r="BT2" s="212"/>
      <c r="BU2" s="212"/>
      <c r="BV2" s="212"/>
      <c r="BW2" s="212"/>
      <c r="BX2" s="212"/>
      <c r="BY2" s="212"/>
      <c r="BZ2" s="213"/>
      <c r="CA2" s="160"/>
      <c r="CB2" s="159"/>
      <c r="CC2" s="158"/>
      <c r="CD2" s="222" t="s">
        <v>545</v>
      </c>
      <c r="CE2" s="223"/>
      <c r="CF2" s="223"/>
      <c r="CG2" s="223"/>
      <c r="CH2" s="223"/>
      <c r="CI2" s="223"/>
      <c r="CJ2" s="223"/>
      <c r="CK2" s="223"/>
      <c r="CL2" s="223"/>
      <c r="CM2" s="223"/>
      <c r="CN2" s="223"/>
      <c r="CO2" s="157"/>
      <c r="CP2" s="222" t="s">
        <v>545</v>
      </c>
      <c r="CQ2" s="223"/>
      <c r="CR2" s="223"/>
      <c r="CS2" s="223"/>
      <c r="CT2" s="223"/>
      <c r="CU2" s="223"/>
      <c r="CV2" s="224"/>
      <c r="CW2" s="156"/>
      <c r="CX2" s="211" t="s">
        <v>547</v>
      </c>
      <c r="CY2" s="212"/>
      <c r="CZ2" s="212"/>
      <c r="DA2" s="212"/>
      <c r="DB2" s="212"/>
      <c r="DC2" s="212"/>
      <c r="DD2" s="212"/>
      <c r="DE2" s="212"/>
      <c r="DF2" s="212"/>
      <c r="DG2" s="212"/>
      <c r="DH2" s="212"/>
      <c r="DI2" s="212"/>
      <c r="DJ2" s="212" t="s">
        <v>547</v>
      </c>
      <c r="DK2" s="212"/>
      <c r="DL2" s="212"/>
      <c r="DM2" s="212"/>
      <c r="DN2" s="212"/>
      <c r="DO2" s="212"/>
      <c r="DP2" s="212"/>
      <c r="DQ2" s="212"/>
      <c r="DR2" s="213"/>
    </row>
    <row r="3" spans="1:122" ht="43.5" customHeight="1" x14ac:dyDescent="0.25">
      <c r="A3" s="217"/>
      <c r="B3" s="201"/>
      <c r="C3" s="219"/>
      <c r="D3" s="217"/>
      <c r="E3" s="221"/>
      <c r="F3" s="201"/>
      <c r="G3" s="155" t="s">
        <v>546</v>
      </c>
      <c r="H3" s="155" t="s">
        <v>545</v>
      </c>
      <c r="I3" s="155" t="s">
        <v>544</v>
      </c>
      <c r="J3" s="155" t="s">
        <v>543</v>
      </c>
      <c r="K3" s="155" t="s">
        <v>542</v>
      </c>
      <c r="L3" s="155" t="s">
        <v>541</v>
      </c>
      <c r="M3" s="153" t="s">
        <v>538</v>
      </c>
      <c r="N3" s="153" t="s">
        <v>537</v>
      </c>
      <c r="O3" s="153" t="s">
        <v>536</v>
      </c>
      <c r="P3" s="153" t="s">
        <v>535</v>
      </c>
      <c r="Q3" s="154" t="s">
        <v>534</v>
      </c>
      <c r="R3" s="153" t="s">
        <v>533</v>
      </c>
      <c r="S3" s="153" t="s">
        <v>532</v>
      </c>
      <c r="T3" s="153" t="s">
        <v>531</v>
      </c>
      <c r="U3" s="153" t="s">
        <v>530</v>
      </c>
      <c r="V3" s="153" t="s">
        <v>529</v>
      </c>
      <c r="W3" s="153" t="s">
        <v>528</v>
      </c>
      <c r="X3" s="153" t="s">
        <v>527</v>
      </c>
      <c r="Y3" s="153" t="s">
        <v>526</v>
      </c>
      <c r="Z3" s="153" t="s">
        <v>525</v>
      </c>
      <c r="AA3" s="153" t="s">
        <v>524</v>
      </c>
      <c r="AB3" s="153" t="s">
        <v>523</v>
      </c>
      <c r="AC3" s="153" t="s">
        <v>540</v>
      </c>
      <c r="AD3" s="153" t="s">
        <v>522</v>
      </c>
      <c r="AE3" s="153" t="s">
        <v>521</v>
      </c>
      <c r="AF3" s="153" t="s">
        <v>520</v>
      </c>
      <c r="AG3" s="153" t="s">
        <v>519</v>
      </c>
      <c r="AI3" s="151" t="s">
        <v>539</v>
      </c>
      <c r="AJ3" s="150" t="s">
        <v>538</v>
      </c>
      <c r="AK3" s="150" t="s">
        <v>537</v>
      </c>
      <c r="AL3" s="150" t="s">
        <v>536</v>
      </c>
      <c r="AM3" s="150" t="s">
        <v>535</v>
      </c>
      <c r="AN3" s="150" t="s">
        <v>534</v>
      </c>
      <c r="AO3" s="150" t="s">
        <v>533</v>
      </c>
      <c r="AP3" s="150" t="s">
        <v>532</v>
      </c>
      <c r="AQ3" s="150" t="s">
        <v>531</v>
      </c>
      <c r="AR3" s="150" t="s">
        <v>530</v>
      </c>
      <c r="AS3" s="150" t="s">
        <v>529</v>
      </c>
      <c r="AT3" s="150" t="s">
        <v>528</v>
      </c>
      <c r="AU3" s="150" t="s">
        <v>527</v>
      </c>
      <c r="AV3" s="150" t="s">
        <v>526</v>
      </c>
      <c r="AW3" s="150" t="s">
        <v>525</v>
      </c>
      <c r="AX3" s="150" t="s">
        <v>524</v>
      </c>
      <c r="AY3" s="150" t="s">
        <v>523</v>
      </c>
      <c r="AZ3" s="152" t="str">
        <f>+AC3</f>
        <v xml:space="preserve">EXCEDENTES  USCO </v>
      </c>
      <c r="BA3" s="150" t="s">
        <v>522</v>
      </c>
      <c r="BB3" s="150" t="s">
        <v>521</v>
      </c>
      <c r="BC3" s="150" t="s">
        <v>520</v>
      </c>
      <c r="BD3" s="150" t="s">
        <v>519</v>
      </c>
      <c r="BE3" s="149" t="s">
        <v>539</v>
      </c>
      <c r="BF3" s="147" t="s">
        <v>538</v>
      </c>
      <c r="BG3" s="147" t="s">
        <v>537</v>
      </c>
      <c r="BH3" s="147" t="s">
        <v>536</v>
      </c>
      <c r="BI3" s="147" t="s">
        <v>535</v>
      </c>
      <c r="BJ3" s="147" t="s">
        <v>534</v>
      </c>
      <c r="BK3" s="147" t="s">
        <v>533</v>
      </c>
      <c r="BL3" s="147" t="s">
        <v>532</v>
      </c>
      <c r="BM3" s="147" t="s">
        <v>531</v>
      </c>
      <c r="BN3" s="147" t="s">
        <v>530</v>
      </c>
      <c r="BO3" s="147" t="s">
        <v>529</v>
      </c>
      <c r="BP3" s="147" t="s">
        <v>528</v>
      </c>
      <c r="BQ3" s="147" t="s">
        <v>527</v>
      </c>
      <c r="BR3" s="147" t="s">
        <v>526</v>
      </c>
      <c r="BS3" s="147" t="s">
        <v>525</v>
      </c>
      <c r="BT3" s="147" t="s">
        <v>524</v>
      </c>
      <c r="BU3" s="147" t="s">
        <v>523</v>
      </c>
      <c r="BV3" s="147" t="str">
        <f>+AZ3</f>
        <v xml:space="preserve">EXCEDENTES  USCO </v>
      </c>
      <c r="BW3" s="147" t="s">
        <v>522</v>
      </c>
      <c r="BX3" s="147" t="s">
        <v>521</v>
      </c>
      <c r="BY3" s="147" t="s">
        <v>520</v>
      </c>
      <c r="BZ3" s="147" t="s">
        <v>519</v>
      </c>
      <c r="CA3" s="151" t="s">
        <v>539</v>
      </c>
      <c r="CB3" s="150" t="s">
        <v>538</v>
      </c>
      <c r="CC3" s="150" t="s">
        <v>537</v>
      </c>
      <c r="CD3" s="150" t="s">
        <v>536</v>
      </c>
      <c r="CE3" s="150" t="s">
        <v>535</v>
      </c>
      <c r="CF3" s="150" t="s">
        <v>534</v>
      </c>
      <c r="CG3" s="150" t="s">
        <v>533</v>
      </c>
      <c r="CH3" s="150" t="s">
        <v>532</v>
      </c>
      <c r="CI3" s="150" t="s">
        <v>531</v>
      </c>
      <c r="CJ3" s="150" t="s">
        <v>530</v>
      </c>
      <c r="CK3" s="150" t="s">
        <v>529</v>
      </c>
      <c r="CL3" s="150" t="s">
        <v>528</v>
      </c>
      <c r="CM3" s="150" t="s">
        <v>527</v>
      </c>
      <c r="CN3" s="150" t="s">
        <v>526</v>
      </c>
      <c r="CO3" s="150" t="s">
        <v>525</v>
      </c>
      <c r="CP3" s="150" t="s">
        <v>524</v>
      </c>
      <c r="CQ3" s="150" t="s">
        <v>523</v>
      </c>
      <c r="CR3" s="150" t="str">
        <f>+BV3</f>
        <v xml:space="preserve">EXCEDENTES  USCO </v>
      </c>
      <c r="CS3" s="150" t="s">
        <v>522</v>
      </c>
      <c r="CT3" s="150" t="s">
        <v>521</v>
      </c>
      <c r="CU3" s="150" t="s">
        <v>520</v>
      </c>
      <c r="CV3" s="150" t="s">
        <v>519</v>
      </c>
      <c r="CW3" s="149" t="s">
        <v>539</v>
      </c>
      <c r="CX3" s="147" t="s">
        <v>538</v>
      </c>
      <c r="CY3" s="147" t="s">
        <v>537</v>
      </c>
      <c r="CZ3" s="147" t="s">
        <v>536</v>
      </c>
      <c r="DA3" s="147" t="s">
        <v>535</v>
      </c>
      <c r="DB3" s="147" t="s">
        <v>534</v>
      </c>
      <c r="DC3" s="147" t="s">
        <v>533</v>
      </c>
      <c r="DD3" s="147" t="s">
        <v>532</v>
      </c>
      <c r="DE3" s="147" t="s">
        <v>531</v>
      </c>
      <c r="DF3" s="147" t="s">
        <v>530</v>
      </c>
      <c r="DG3" s="147" t="s">
        <v>529</v>
      </c>
      <c r="DH3" s="147" t="s">
        <v>528</v>
      </c>
      <c r="DI3" s="147" t="s">
        <v>527</v>
      </c>
      <c r="DJ3" s="147" t="s">
        <v>526</v>
      </c>
      <c r="DK3" s="147" t="s">
        <v>525</v>
      </c>
      <c r="DL3" s="147" t="s">
        <v>524</v>
      </c>
      <c r="DM3" s="147" t="s">
        <v>523</v>
      </c>
      <c r="DN3" s="148" t="str">
        <f>+CR3</f>
        <v xml:space="preserve">EXCEDENTES  USCO </v>
      </c>
      <c r="DO3" s="147" t="s">
        <v>522</v>
      </c>
      <c r="DP3" s="147" t="s">
        <v>521</v>
      </c>
      <c r="DQ3" s="147" t="s">
        <v>520</v>
      </c>
      <c r="DR3" s="147" t="s">
        <v>519</v>
      </c>
    </row>
    <row r="4" spans="1:122" ht="53.25" customHeight="1" x14ac:dyDescent="0.25">
      <c r="A4" s="225" t="s">
        <v>518</v>
      </c>
      <c r="B4" s="146" t="s">
        <v>517</v>
      </c>
      <c r="C4" s="82" t="s">
        <v>516</v>
      </c>
      <c r="D4" s="81" t="s">
        <v>515</v>
      </c>
      <c r="E4" s="97">
        <v>510</v>
      </c>
      <c r="F4" s="78" t="s">
        <v>428</v>
      </c>
      <c r="G4" s="227">
        <v>100000000</v>
      </c>
      <c r="H4" s="79">
        <f t="shared" ref="H4:H33" si="0">+CB4</f>
        <v>6000000</v>
      </c>
      <c r="I4" s="79">
        <f t="shared" ref="I4:I33" si="1">M4-H4</f>
        <v>9000000</v>
      </c>
      <c r="J4" s="227" t="s">
        <v>514</v>
      </c>
      <c r="K4" s="227" t="s">
        <v>513</v>
      </c>
      <c r="L4" s="227" t="s">
        <v>512</v>
      </c>
      <c r="M4" s="75">
        <f t="shared" ref="M4:M33" si="2">SUM(N4:AG4)</f>
        <v>15000000</v>
      </c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>
        <v>15000000</v>
      </c>
      <c r="AB4" s="75"/>
      <c r="AC4" s="75"/>
      <c r="AD4" s="75"/>
      <c r="AE4" s="75"/>
      <c r="AF4" s="75"/>
      <c r="AG4" s="75"/>
      <c r="AH4" s="145"/>
      <c r="AI4" s="25">
        <f t="shared" ref="AI4:AI35" si="3">+AJ4/M4</f>
        <v>0.4</v>
      </c>
      <c r="AJ4" s="75">
        <f t="shared" ref="AJ4:AJ33" si="4">SUM(AK4:BD4)</f>
        <v>6000000</v>
      </c>
      <c r="AK4" s="144"/>
      <c r="AL4" s="30"/>
      <c r="AM4" s="30"/>
      <c r="AN4" s="30"/>
      <c r="AO4" s="30"/>
      <c r="AP4" s="24"/>
      <c r="AQ4" s="24"/>
      <c r="AR4" s="24"/>
      <c r="AS4" s="24"/>
      <c r="AT4" s="24"/>
      <c r="AU4" s="24"/>
      <c r="AV4" s="24"/>
      <c r="AW4" s="24"/>
      <c r="AX4" s="24">
        <f>+'[1]AGOSTO 2015'!$W$1944</f>
        <v>6000000</v>
      </c>
      <c r="AY4" s="24"/>
      <c r="AZ4" s="24"/>
      <c r="BA4" s="24"/>
      <c r="BB4" s="24"/>
      <c r="BC4" s="24"/>
      <c r="BD4" s="24"/>
      <c r="BE4" s="25">
        <f t="shared" ref="BE4:BE20" si="5">1-AI4</f>
        <v>0.6</v>
      </c>
      <c r="BF4" s="75">
        <f t="shared" ref="BF4:BF33" si="6">SUM(BG4:BZ4)</f>
        <v>9000000</v>
      </c>
      <c r="BG4" s="75">
        <f t="shared" ref="BG4:BG33" si="7">+N4-AK4</f>
        <v>0</v>
      </c>
      <c r="BH4" s="75">
        <f t="shared" ref="BH4:BH18" si="8">+O4</f>
        <v>0</v>
      </c>
      <c r="BI4" s="75"/>
      <c r="BJ4" s="75">
        <f t="shared" ref="BJ4:BJ33" si="9">Q4-AN4</f>
        <v>0</v>
      </c>
      <c r="BK4" s="75"/>
      <c r="BL4" s="75">
        <f t="shared" ref="BL4:BL33" si="10">+S4-AP4</f>
        <v>0</v>
      </c>
      <c r="BM4" s="75">
        <f t="shared" ref="BM4:BM33" si="11">+T4-AQ4</f>
        <v>0</v>
      </c>
      <c r="BN4" s="75"/>
      <c r="BO4" s="75">
        <f t="shared" ref="BO4:BX4" si="12">+V4-AS4</f>
        <v>0</v>
      </c>
      <c r="BP4" s="75">
        <f t="shared" si="12"/>
        <v>0</v>
      </c>
      <c r="BQ4" s="75">
        <f t="shared" si="12"/>
        <v>0</v>
      </c>
      <c r="BR4" s="75">
        <f t="shared" si="12"/>
        <v>0</v>
      </c>
      <c r="BS4" s="75">
        <f t="shared" si="12"/>
        <v>0</v>
      </c>
      <c r="BT4" s="75">
        <f t="shared" si="12"/>
        <v>9000000</v>
      </c>
      <c r="BU4" s="75">
        <f t="shared" si="12"/>
        <v>0</v>
      </c>
      <c r="BV4" s="75">
        <f t="shared" si="12"/>
        <v>0</v>
      </c>
      <c r="BW4" s="75">
        <f t="shared" si="12"/>
        <v>0</v>
      </c>
      <c r="BX4" s="75">
        <f t="shared" si="12"/>
        <v>0</v>
      </c>
      <c r="BY4" s="75"/>
      <c r="BZ4" s="75">
        <f t="shared" ref="BZ4:BZ33" si="13">+AG4-BD4</f>
        <v>0</v>
      </c>
      <c r="CA4" s="25">
        <f t="shared" ref="CA4:CA35" si="14">+CB4/M4</f>
        <v>0.4</v>
      </c>
      <c r="CB4" s="75">
        <f t="shared" ref="CB4:CB33" si="15">SUM(CC4:CV4)</f>
        <v>6000000</v>
      </c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>
        <f>+'[1]AGOSTO 2015'!$H$1942</f>
        <v>6000000</v>
      </c>
      <c r="CQ4" s="75"/>
      <c r="CR4" s="75"/>
      <c r="CS4" s="75"/>
      <c r="CT4" s="75"/>
      <c r="CU4" s="75"/>
      <c r="CV4" s="75"/>
      <c r="CW4" s="25">
        <f t="shared" ref="CW4:CW35" si="16">1-CA4</f>
        <v>0.6</v>
      </c>
      <c r="CX4" s="75">
        <f t="shared" ref="CX4:CX33" si="17">SUM(CY4:DR4)</f>
        <v>9000000</v>
      </c>
      <c r="CY4" s="75">
        <f t="shared" ref="CY4:CY33" si="18">N4-CC4</f>
        <v>0</v>
      </c>
      <c r="CZ4" s="75">
        <f t="shared" ref="CZ4:CZ33" si="19">O4-CD4</f>
        <v>0</v>
      </c>
      <c r="DA4" s="75"/>
      <c r="DB4" s="75">
        <f t="shared" ref="DB4:DB32" si="20">Q4-CF4</f>
        <v>0</v>
      </c>
      <c r="DC4" s="75">
        <f t="shared" ref="DC4:DC32" si="21">R4-CG4</f>
        <v>0</v>
      </c>
      <c r="DD4" s="75">
        <f t="shared" ref="DD4:DD32" si="22">S4-CH4</f>
        <v>0</v>
      </c>
      <c r="DE4" s="75">
        <f t="shared" ref="DE4:DE32" si="23">T4-CI4</f>
        <v>0</v>
      </c>
      <c r="DF4" s="75"/>
      <c r="DG4" s="75">
        <f t="shared" ref="DG4:DG33" si="24">+V4-CK4</f>
        <v>0</v>
      </c>
      <c r="DH4" s="75">
        <f t="shared" ref="DH4:DH33" si="25">+W4-CL4</f>
        <v>0</v>
      </c>
      <c r="DI4" s="75"/>
      <c r="DJ4" s="75">
        <f t="shared" ref="DJ4:DJ33" si="26">Y4-CN4</f>
        <v>0</v>
      </c>
      <c r="DK4" s="75">
        <f t="shared" ref="DK4:DK33" si="27">Z4-CO4</f>
        <v>0</v>
      </c>
      <c r="DL4" s="75">
        <f t="shared" ref="DL4:DL33" si="28">AA4-CP4</f>
        <v>9000000</v>
      </c>
      <c r="DM4" s="75">
        <f t="shared" ref="DM4:DM33" si="29">+AB4-CQ4</f>
        <v>0</v>
      </c>
      <c r="DN4" s="75">
        <f t="shared" ref="DN4:DN33" si="30">+AC4-CR4</f>
        <v>0</v>
      </c>
      <c r="DO4" s="75">
        <f t="shared" ref="DO4:DO33" si="31">+AD4-CS4</f>
        <v>0</v>
      </c>
      <c r="DP4" s="75">
        <f t="shared" ref="DP4:DP33" si="32">+AE4-CT4</f>
        <v>0</v>
      </c>
      <c r="DQ4" s="75"/>
      <c r="DR4" s="75">
        <f t="shared" ref="DR4:DR33" si="33">+AG4-CV4</f>
        <v>0</v>
      </c>
    </row>
    <row r="5" spans="1:122" ht="62.25" customHeight="1" x14ac:dyDescent="0.25">
      <c r="A5" s="226"/>
      <c r="B5" s="134"/>
      <c r="C5" s="82" t="s">
        <v>511</v>
      </c>
      <c r="D5" s="81" t="s">
        <v>510</v>
      </c>
      <c r="E5" s="97">
        <v>510</v>
      </c>
      <c r="F5" s="78" t="s">
        <v>428</v>
      </c>
      <c r="G5" s="228"/>
      <c r="H5" s="79">
        <f t="shared" si="0"/>
        <v>0</v>
      </c>
      <c r="I5" s="79">
        <f t="shared" si="1"/>
        <v>10000000</v>
      </c>
      <c r="J5" s="228"/>
      <c r="K5" s="228"/>
      <c r="L5" s="228"/>
      <c r="M5" s="75">
        <f t="shared" si="2"/>
        <v>10000000</v>
      </c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>
        <v>10000000</v>
      </c>
      <c r="AB5" s="75"/>
      <c r="AC5" s="75"/>
      <c r="AD5" s="75"/>
      <c r="AE5" s="75"/>
      <c r="AF5" s="75"/>
      <c r="AG5" s="75"/>
      <c r="AH5" s="141"/>
      <c r="AI5" s="25">
        <f t="shared" si="3"/>
        <v>0</v>
      </c>
      <c r="AJ5" s="75">
        <f t="shared" si="4"/>
        <v>0</v>
      </c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25">
        <f t="shared" si="5"/>
        <v>1</v>
      </c>
      <c r="BF5" s="75">
        <f t="shared" si="6"/>
        <v>10000000</v>
      </c>
      <c r="BG5" s="75">
        <f t="shared" si="7"/>
        <v>0</v>
      </c>
      <c r="BH5" s="75">
        <f t="shared" si="8"/>
        <v>0</v>
      </c>
      <c r="BI5" s="75"/>
      <c r="BJ5" s="75">
        <f t="shared" si="9"/>
        <v>0</v>
      </c>
      <c r="BK5" s="75"/>
      <c r="BL5" s="75">
        <f t="shared" si="10"/>
        <v>0</v>
      </c>
      <c r="BM5" s="75">
        <f t="shared" si="11"/>
        <v>0</v>
      </c>
      <c r="BN5" s="75"/>
      <c r="BO5" s="75"/>
      <c r="BP5" s="75"/>
      <c r="BQ5" s="75"/>
      <c r="BR5" s="75">
        <f t="shared" ref="BR5:BR33" si="34">+Y5-AV5</f>
        <v>0</v>
      </c>
      <c r="BS5" s="75">
        <f t="shared" ref="BS5:BS33" si="35">+Z5-AW5</f>
        <v>0</v>
      </c>
      <c r="BT5" s="75">
        <f t="shared" ref="BT5:BT33" si="36">+AA5-AX5</f>
        <v>10000000</v>
      </c>
      <c r="BU5" s="75">
        <f t="shared" ref="BU5:BU33" si="37">+AB5-AY5</f>
        <v>0</v>
      </c>
      <c r="BV5" s="75">
        <f t="shared" ref="BV5:BV33" si="38">+AC5-AZ5</f>
        <v>0</v>
      </c>
      <c r="BW5" s="75">
        <f t="shared" ref="BW5:BW33" si="39">+AD5-BA5</f>
        <v>0</v>
      </c>
      <c r="BX5" s="75"/>
      <c r="BY5" s="75"/>
      <c r="BZ5" s="75">
        <f t="shared" si="13"/>
        <v>0</v>
      </c>
      <c r="CA5" s="25">
        <f t="shared" si="14"/>
        <v>0</v>
      </c>
      <c r="CB5" s="75">
        <f t="shared" si="15"/>
        <v>0</v>
      </c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25">
        <f t="shared" si="16"/>
        <v>1</v>
      </c>
      <c r="CX5" s="75">
        <f t="shared" si="17"/>
        <v>10000000</v>
      </c>
      <c r="CY5" s="75">
        <f t="shared" si="18"/>
        <v>0</v>
      </c>
      <c r="CZ5" s="75">
        <f t="shared" si="19"/>
        <v>0</v>
      </c>
      <c r="DA5" s="75"/>
      <c r="DB5" s="75">
        <f t="shared" si="20"/>
        <v>0</v>
      </c>
      <c r="DC5" s="75">
        <f t="shared" si="21"/>
        <v>0</v>
      </c>
      <c r="DD5" s="75">
        <f t="shared" si="22"/>
        <v>0</v>
      </c>
      <c r="DE5" s="75">
        <f t="shared" si="23"/>
        <v>0</v>
      </c>
      <c r="DF5" s="75"/>
      <c r="DG5" s="75">
        <f t="shared" si="24"/>
        <v>0</v>
      </c>
      <c r="DH5" s="75">
        <f t="shared" si="25"/>
        <v>0</v>
      </c>
      <c r="DI5" s="75"/>
      <c r="DJ5" s="75">
        <f t="shared" si="26"/>
        <v>0</v>
      </c>
      <c r="DK5" s="75">
        <f t="shared" si="27"/>
        <v>0</v>
      </c>
      <c r="DL5" s="75">
        <f t="shared" si="28"/>
        <v>10000000</v>
      </c>
      <c r="DM5" s="75">
        <f t="shared" si="29"/>
        <v>0</v>
      </c>
      <c r="DN5" s="75">
        <f t="shared" si="30"/>
        <v>0</v>
      </c>
      <c r="DO5" s="75">
        <f t="shared" si="31"/>
        <v>0</v>
      </c>
      <c r="DP5" s="75">
        <f t="shared" si="32"/>
        <v>0</v>
      </c>
      <c r="DQ5" s="75"/>
      <c r="DR5" s="75">
        <f t="shared" si="33"/>
        <v>0</v>
      </c>
    </row>
    <row r="6" spans="1:122" ht="61.5" customHeight="1" x14ac:dyDescent="0.25">
      <c r="A6" s="226"/>
      <c r="B6" s="134"/>
      <c r="C6" s="82" t="s">
        <v>509</v>
      </c>
      <c r="D6" s="81" t="s">
        <v>508</v>
      </c>
      <c r="E6" s="127">
        <v>510</v>
      </c>
      <c r="F6" s="78" t="s">
        <v>428</v>
      </c>
      <c r="G6" s="228"/>
      <c r="H6" s="79">
        <f t="shared" si="0"/>
        <v>0</v>
      </c>
      <c r="I6" s="79">
        <f t="shared" si="1"/>
        <v>5000000</v>
      </c>
      <c r="J6" s="228"/>
      <c r="K6" s="228"/>
      <c r="L6" s="228"/>
      <c r="M6" s="75">
        <f t="shared" si="2"/>
        <v>5000000</v>
      </c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>
        <v>5000000</v>
      </c>
      <c r="AB6" s="75"/>
      <c r="AC6" s="75"/>
      <c r="AD6" s="75"/>
      <c r="AE6" s="75"/>
      <c r="AF6" s="75"/>
      <c r="AG6" s="75"/>
      <c r="AH6" s="141"/>
      <c r="AI6" s="25">
        <f t="shared" si="3"/>
        <v>0</v>
      </c>
      <c r="AJ6" s="75">
        <f t="shared" si="4"/>
        <v>0</v>
      </c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25">
        <f t="shared" si="5"/>
        <v>1</v>
      </c>
      <c r="BF6" s="75">
        <f t="shared" si="6"/>
        <v>5000000</v>
      </c>
      <c r="BG6" s="75">
        <f t="shared" si="7"/>
        <v>0</v>
      </c>
      <c r="BH6" s="75">
        <f t="shared" si="8"/>
        <v>0</v>
      </c>
      <c r="BI6" s="75"/>
      <c r="BJ6" s="75">
        <f t="shared" si="9"/>
        <v>0</v>
      </c>
      <c r="BK6" s="75"/>
      <c r="BL6" s="75">
        <f t="shared" si="10"/>
        <v>0</v>
      </c>
      <c r="BM6" s="75">
        <f t="shared" si="11"/>
        <v>0</v>
      </c>
      <c r="BN6" s="75"/>
      <c r="BO6" s="75"/>
      <c r="BP6" s="75"/>
      <c r="BQ6" s="75"/>
      <c r="BR6" s="75">
        <f t="shared" si="34"/>
        <v>0</v>
      </c>
      <c r="BS6" s="75">
        <f t="shared" si="35"/>
        <v>0</v>
      </c>
      <c r="BT6" s="75">
        <f t="shared" si="36"/>
        <v>5000000</v>
      </c>
      <c r="BU6" s="75">
        <f t="shared" si="37"/>
        <v>0</v>
      </c>
      <c r="BV6" s="75">
        <f t="shared" si="38"/>
        <v>0</v>
      </c>
      <c r="BW6" s="75">
        <f t="shared" si="39"/>
        <v>0</v>
      </c>
      <c r="BX6" s="75"/>
      <c r="BY6" s="75"/>
      <c r="BZ6" s="75">
        <f t="shared" si="13"/>
        <v>0</v>
      </c>
      <c r="CA6" s="25">
        <f t="shared" si="14"/>
        <v>0</v>
      </c>
      <c r="CB6" s="75">
        <f t="shared" si="15"/>
        <v>0</v>
      </c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25">
        <f t="shared" si="16"/>
        <v>1</v>
      </c>
      <c r="CX6" s="75">
        <f t="shared" si="17"/>
        <v>5000000</v>
      </c>
      <c r="CY6" s="75">
        <f t="shared" si="18"/>
        <v>0</v>
      </c>
      <c r="CZ6" s="75">
        <f t="shared" si="19"/>
        <v>0</v>
      </c>
      <c r="DA6" s="75"/>
      <c r="DB6" s="75">
        <f t="shared" si="20"/>
        <v>0</v>
      </c>
      <c r="DC6" s="75">
        <f t="shared" si="21"/>
        <v>0</v>
      </c>
      <c r="DD6" s="75">
        <f t="shared" si="22"/>
        <v>0</v>
      </c>
      <c r="DE6" s="75">
        <f t="shared" si="23"/>
        <v>0</v>
      </c>
      <c r="DF6" s="75"/>
      <c r="DG6" s="75">
        <f t="shared" si="24"/>
        <v>0</v>
      </c>
      <c r="DH6" s="75">
        <f t="shared" si="25"/>
        <v>0</v>
      </c>
      <c r="DI6" s="75"/>
      <c r="DJ6" s="75">
        <f t="shared" si="26"/>
        <v>0</v>
      </c>
      <c r="DK6" s="75">
        <f t="shared" si="27"/>
        <v>0</v>
      </c>
      <c r="DL6" s="75">
        <f t="shared" si="28"/>
        <v>5000000</v>
      </c>
      <c r="DM6" s="75">
        <f t="shared" si="29"/>
        <v>0</v>
      </c>
      <c r="DN6" s="75">
        <f t="shared" si="30"/>
        <v>0</v>
      </c>
      <c r="DO6" s="75">
        <f t="shared" si="31"/>
        <v>0</v>
      </c>
      <c r="DP6" s="75">
        <f t="shared" si="32"/>
        <v>0</v>
      </c>
      <c r="DQ6" s="75"/>
      <c r="DR6" s="75">
        <f t="shared" si="33"/>
        <v>0</v>
      </c>
    </row>
    <row r="7" spans="1:122" ht="38.25" customHeight="1" x14ac:dyDescent="0.25">
      <c r="A7" s="226"/>
      <c r="B7" s="143"/>
      <c r="C7" s="82" t="s">
        <v>507</v>
      </c>
      <c r="D7" s="81" t="s">
        <v>506</v>
      </c>
      <c r="E7" s="142">
        <v>510</v>
      </c>
      <c r="F7" s="78" t="s">
        <v>428</v>
      </c>
      <c r="G7" s="228"/>
      <c r="H7" s="79">
        <f t="shared" si="0"/>
        <v>9996767</v>
      </c>
      <c r="I7" s="79">
        <f t="shared" si="1"/>
        <v>3233</v>
      </c>
      <c r="J7" s="228"/>
      <c r="K7" s="228"/>
      <c r="L7" s="228"/>
      <c r="M7" s="75">
        <f t="shared" si="2"/>
        <v>10000000</v>
      </c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>
        <v>10000000</v>
      </c>
      <c r="AB7" s="75"/>
      <c r="AC7" s="75"/>
      <c r="AD7" s="75"/>
      <c r="AE7" s="75"/>
      <c r="AF7" s="75"/>
      <c r="AG7" s="75"/>
      <c r="AH7" s="141"/>
      <c r="AI7" s="25">
        <f t="shared" si="3"/>
        <v>0.99967669999999997</v>
      </c>
      <c r="AJ7" s="75">
        <f t="shared" si="4"/>
        <v>9996767</v>
      </c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>
        <f>+'[1]AGOSTO 2015'!$W$1960</f>
        <v>9996767</v>
      </c>
      <c r="AY7" s="75"/>
      <c r="AZ7" s="75"/>
      <c r="BA7" s="75"/>
      <c r="BB7" s="75"/>
      <c r="BC7" s="75"/>
      <c r="BD7" s="75"/>
      <c r="BE7" s="25">
        <f t="shared" si="5"/>
        <v>3.2330000000002634E-4</v>
      </c>
      <c r="BF7" s="75">
        <f t="shared" si="6"/>
        <v>3233</v>
      </c>
      <c r="BG7" s="75">
        <f t="shared" si="7"/>
        <v>0</v>
      </c>
      <c r="BH7" s="75">
        <f t="shared" si="8"/>
        <v>0</v>
      </c>
      <c r="BI7" s="75"/>
      <c r="BJ7" s="75">
        <f t="shared" si="9"/>
        <v>0</v>
      </c>
      <c r="BK7" s="75"/>
      <c r="BL7" s="75">
        <f t="shared" si="10"/>
        <v>0</v>
      </c>
      <c r="BM7" s="75">
        <f t="shared" si="11"/>
        <v>0</v>
      </c>
      <c r="BN7" s="75"/>
      <c r="BO7" s="75"/>
      <c r="BP7" s="75"/>
      <c r="BQ7" s="75"/>
      <c r="BR7" s="75">
        <f t="shared" si="34"/>
        <v>0</v>
      </c>
      <c r="BS7" s="75">
        <f t="shared" si="35"/>
        <v>0</v>
      </c>
      <c r="BT7" s="75">
        <f t="shared" si="36"/>
        <v>3233</v>
      </c>
      <c r="BU7" s="75">
        <f t="shared" si="37"/>
        <v>0</v>
      </c>
      <c r="BV7" s="75">
        <f t="shared" si="38"/>
        <v>0</v>
      </c>
      <c r="BW7" s="75">
        <f t="shared" si="39"/>
        <v>0</v>
      </c>
      <c r="BX7" s="75"/>
      <c r="BY7" s="75"/>
      <c r="BZ7" s="75">
        <f t="shared" si="13"/>
        <v>0</v>
      </c>
      <c r="CA7" s="25">
        <f t="shared" si="14"/>
        <v>0.99967669999999997</v>
      </c>
      <c r="CB7" s="75">
        <f t="shared" si="15"/>
        <v>9996767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>
        <f>+'[1]AGOSTO 2015'!$H$1958</f>
        <v>9996767</v>
      </c>
      <c r="CQ7" s="75"/>
      <c r="CR7" s="75"/>
      <c r="CS7" s="75"/>
      <c r="CT7" s="75"/>
      <c r="CU7" s="75"/>
      <c r="CV7" s="75"/>
      <c r="CW7" s="25">
        <f t="shared" si="16"/>
        <v>3.2330000000002634E-4</v>
      </c>
      <c r="CX7" s="75">
        <f t="shared" si="17"/>
        <v>3233</v>
      </c>
      <c r="CY7" s="75">
        <f t="shared" si="18"/>
        <v>0</v>
      </c>
      <c r="CZ7" s="75">
        <f t="shared" si="19"/>
        <v>0</v>
      </c>
      <c r="DA7" s="75"/>
      <c r="DB7" s="75">
        <f t="shared" si="20"/>
        <v>0</v>
      </c>
      <c r="DC7" s="75">
        <f t="shared" si="21"/>
        <v>0</v>
      </c>
      <c r="DD7" s="75">
        <f t="shared" si="22"/>
        <v>0</v>
      </c>
      <c r="DE7" s="75">
        <f t="shared" si="23"/>
        <v>0</v>
      </c>
      <c r="DF7" s="75"/>
      <c r="DG7" s="75">
        <f t="shared" si="24"/>
        <v>0</v>
      </c>
      <c r="DH7" s="75">
        <f t="shared" si="25"/>
        <v>0</v>
      </c>
      <c r="DI7" s="75"/>
      <c r="DJ7" s="75">
        <f t="shared" si="26"/>
        <v>0</v>
      </c>
      <c r="DK7" s="75">
        <f t="shared" si="27"/>
        <v>0</v>
      </c>
      <c r="DL7" s="75">
        <f t="shared" si="28"/>
        <v>3233</v>
      </c>
      <c r="DM7" s="75">
        <f t="shared" si="29"/>
        <v>0</v>
      </c>
      <c r="DN7" s="75">
        <f t="shared" si="30"/>
        <v>0</v>
      </c>
      <c r="DO7" s="75">
        <f t="shared" si="31"/>
        <v>0</v>
      </c>
      <c r="DP7" s="75">
        <f t="shared" si="32"/>
        <v>0</v>
      </c>
      <c r="DQ7" s="75"/>
      <c r="DR7" s="75">
        <f t="shared" si="33"/>
        <v>0</v>
      </c>
    </row>
    <row r="8" spans="1:122" ht="95.25" customHeight="1" x14ac:dyDescent="0.25">
      <c r="A8" s="226"/>
      <c r="B8" s="134"/>
      <c r="C8" s="82" t="s">
        <v>505</v>
      </c>
      <c r="D8" s="81" t="s">
        <v>504</v>
      </c>
      <c r="E8" s="118">
        <v>510</v>
      </c>
      <c r="F8" s="78" t="s">
        <v>428</v>
      </c>
      <c r="G8" s="228"/>
      <c r="H8" s="79">
        <f t="shared" si="0"/>
        <v>0</v>
      </c>
      <c r="I8" s="79">
        <f t="shared" si="1"/>
        <v>25000000</v>
      </c>
      <c r="J8" s="228"/>
      <c r="K8" s="228"/>
      <c r="L8" s="228"/>
      <c r="M8" s="75">
        <f t="shared" si="2"/>
        <v>25000000</v>
      </c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>
        <v>25000000</v>
      </c>
      <c r="AB8" s="75"/>
      <c r="AC8" s="75"/>
      <c r="AD8" s="75"/>
      <c r="AE8" s="75"/>
      <c r="AF8" s="75"/>
      <c r="AG8" s="75"/>
      <c r="AH8" s="141"/>
      <c r="AI8" s="25">
        <f t="shared" si="3"/>
        <v>0</v>
      </c>
      <c r="AJ8" s="75">
        <f t="shared" si="4"/>
        <v>0</v>
      </c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25">
        <f t="shared" si="5"/>
        <v>1</v>
      </c>
      <c r="BF8" s="75">
        <f t="shared" si="6"/>
        <v>25000000</v>
      </c>
      <c r="BG8" s="75">
        <f t="shared" si="7"/>
        <v>0</v>
      </c>
      <c r="BH8" s="75">
        <f t="shared" si="8"/>
        <v>0</v>
      </c>
      <c r="BI8" s="75"/>
      <c r="BJ8" s="75">
        <f t="shared" si="9"/>
        <v>0</v>
      </c>
      <c r="BK8" s="75"/>
      <c r="BL8" s="75">
        <f t="shared" si="10"/>
        <v>0</v>
      </c>
      <c r="BM8" s="75">
        <f t="shared" si="11"/>
        <v>0</v>
      </c>
      <c r="BN8" s="75"/>
      <c r="BO8" s="75"/>
      <c r="BP8" s="75"/>
      <c r="BQ8" s="75"/>
      <c r="BR8" s="75">
        <f t="shared" si="34"/>
        <v>0</v>
      </c>
      <c r="BS8" s="75">
        <f t="shared" si="35"/>
        <v>0</v>
      </c>
      <c r="BT8" s="75">
        <f t="shared" si="36"/>
        <v>25000000</v>
      </c>
      <c r="BU8" s="75">
        <f t="shared" si="37"/>
        <v>0</v>
      </c>
      <c r="BV8" s="75">
        <f t="shared" si="38"/>
        <v>0</v>
      </c>
      <c r="BW8" s="75">
        <f t="shared" si="39"/>
        <v>0</v>
      </c>
      <c r="BX8" s="75"/>
      <c r="BY8" s="75"/>
      <c r="BZ8" s="75">
        <f t="shared" si="13"/>
        <v>0</v>
      </c>
      <c r="CA8" s="25">
        <f t="shared" si="14"/>
        <v>0</v>
      </c>
      <c r="CB8" s="75">
        <f t="shared" si="15"/>
        <v>0</v>
      </c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25">
        <f t="shared" si="16"/>
        <v>1</v>
      </c>
      <c r="CX8" s="75">
        <f t="shared" si="17"/>
        <v>25000000</v>
      </c>
      <c r="CY8" s="75">
        <f t="shared" si="18"/>
        <v>0</v>
      </c>
      <c r="CZ8" s="75">
        <f t="shared" si="19"/>
        <v>0</v>
      </c>
      <c r="DA8" s="75"/>
      <c r="DB8" s="75">
        <f t="shared" si="20"/>
        <v>0</v>
      </c>
      <c r="DC8" s="75">
        <f t="shared" si="21"/>
        <v>0</v>
      </c>
      <c r="DD8" s="75">
        <f t="shared" si="22"/>
        <v>0</v>
      </c>
      <c r="DE8" s="75">
        <f t="shared" si="23"/>
        <v>0</v>
      </c>
      <c r="DF8" s="75"/>
      <c r="DG8" s="75">
        <f t="shared" si="24"/>
        <v>0</v>
      </c>
      <c r="DH8" s="75">
        <f t="shared" si="25"/>
        <v>0</v>
      </c>
      <c r="DI8" s="75"/>
      <c r="DJ8" s="75">
        <f t="shared" si="26"/>
        <v>0</v>
      </c>
      <c r="DK8" s="75">
        <f t="shared" si="27"/>
        <v>0</v>
      </c>
      <c r="DL8" s="75">
        <f t="shared" si="28"/>
        <v>25000000</v>
      </c>
      <c r="DM8" s="75">
        <f t="shared" si="29"/>
        <v>0</v>
      </c>
      <c r="DN8" s="75">
        <f t="shared" si="30"/>
        <v>0</v>
      </c>
      <c r="DO8" s="75">
        <f t="shared" si="31"/>
        <v>0</v>
      </c>
      <c r="DP8" s="75">
        <f t="shared" si="32"/>
        <v>0</v>
      </c>
      <c r="DQ8" s="75"/>
      <c r="DR8" s="75">
        <f t="shared" si="33"/>
        <v>0</v>
      </c>
    </row>
    <row r="9" spans="1:122" ht="39" customHeight="1" x14ac:dyDescent="0.25">
      <c r="A9" s="226"/>
      <c r="B9" s="134"/>
      <c r="C9" s="82" t="s">
        <v>503</v>
      </c>
      <c r="D9" s="81" t="s">
        <v>502</v>
      </c>
      <c r="E9" s="97">
        <v>510</v>
      </c>
      <c r="F9" s="78" t="s">
        <v>428</v>
      </c>
      <c r="G9" s="229"/>
      <c r="H9" s="79">
        <f t="shared" si="0"/>
        <v>33527912</v>
      </c>
      <c r="I9" s="79">
        <f t="shared" si="1"/>
        <v>1472088</v>
      </c>
      <c r="J9" s="229"/>
      <c r="K9" s="229"/>
      <c r="L9" s="229"/>
      <c r="M9" s="75">
        <f t="shared" si="2"/>
        <v>35000000</v>
      </c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>
        <v>35000000</v>
      </c>
      <c r="AB9" s="75"/>
      <c r="AC9" s="75"/>
      <c r="AD9" s="75"/>
      <c r="AE9" s="75"/>
      <c r="AF9" s="75"/>
      <c r="AG9" s="75"/>
      <c r="AH9" s="141"/>
      <c r="AI9" s="25">
        <f t="shared" si="3"/>
        <v>0.95794034285714291</v>
      </c>
      <c r="AJ9" s="75">
        <f t="shared" si="4"/>
        <v>33527912</v>
      </c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>
        <f>+'[1]AGOSTO 2015'!$W$1977</f>
        <v>33527912</v>
      </c>
      <c r="AY9" s="75"/>
      <c r="AZ9" s="75"/>
      <c r="BA9" s="75"/>
      <c r="BB9" s="75"/>
      <c r="BC9" s="75"/>
      <c r="BD9" s="75"/>
      <c r="BE9" s="25">
        <f t="shared" si="5"/>
        <v>4.2059657142857088E-2</v>
      </c>
      <c r="BF9" s="75">
        <f t="shared" si="6"/>
        <v>1472088</v>
      </c>
      <c r="BG9" s="75">
        <f t="shared" si="7"/>
        <v>0</v>
      </c>
      <c r="BH9" s="75">
        <f t="shared" si="8"/>
        <v>0</v>
      </c>
      <c r="BI9" s="75"/>
      <c r="BJ9" s="75">
        <f t="shared" si="9"/>
        <v>0</v>
      </c>
      <c r="BK9" s="75"/>
      <c r="BL9" s="75">
        <f t="shared" si="10"/>
        <v>0</v>
      </c>
      <c r="BM9" s="75">
        <f t="shared" si="11"/>
        <v>0</v>
      </c>
      <c r="BN9" s="75"/>
      <c r="BO9" s="75"/>
      <c r="BP9" s="75"/>
      <c r="BQ9" s="75"/>
      <c r="BR9" s="75">
        <f t="shared" si="34"/>
        <v>0</v>
      </c>
      <c r="BS9" s="75">
        <f t="shared" si="35"/>
        <v>0</v>
      </c>
      <c r="BT9" s="75">
        <f t="shared" si="36"/>
        <v>1472088</v>
      </c>
      <c r="BU9" s="75">
        <f t="shared" si="37"/>
        <v>0</v>
      </c>
      <c r="BV9" s="75">
        <f t="shared" si="38"/>
        <v>0</v>
      </c>
      <c r="BW9" s="75">
        <f t="shared" si="39"/>
        <v>0</v>
      </c>
      <c r="BX9" s="75"/>
      <c r="BY9" s="75"/>
      <c r="BZ9" s="75">
        <f t="shared" si="13"/>
        <v>0</v>
      </c>
      <c r="CA9" s="25">
        <f t="shared" si="14"/>
        <v>0.95794034285714291</v>
      </c>
      <c r="CB9" s="75">
        <f t="shared" si="15"/>
        <v>33527912</v>
      </c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>
        <f>+'[1]AGOSTO 2015'!$H$1975</f>
        <v>33527912</v>
      </c>
      <c r="CQ9" s="75"/>
      <c r="CR9" s="75"/>
      <c r="CS9" s="75"/>
      <c r="CT9" s="75"/>
      <c r="CU9" s="75"/>
      <c r="CV9" s="75"/>
      <c r="CW9" s="25">
        <f t="shared" si="16"/>
        <v>4.2059657142857088E-2</v>
      </c>
      <c r="CX9" s="75">
        <f t="shared" si="17"/>
        <v>1472088</v>
      </c>
      <c r="CY9" s="75">
        <f t="shared" si="18"/>
        <v>0</v>
      </c>
      <c r="CZ9" s="75">
        <f t="shared" si="19"/>
        <v>0</v>
      </c>
      <c r="DA9" s="75"/>
      <c r="DB9" s="75">
        <f t="shared" si="20"/>
        <v>0</v>
      </c>
      <c r="DC9" s="75">
        <f t="shared" si="21"/>
        <v>0</v>
      </c>
      <c r="DD9" s="75">
        <f t="shared" si="22"/>
        <v>0</v>
      </c>
      <c r="DE9" s="75">
        <f t="shared" si="23"/>
        <v>0</v>
      </c>
      <c r="DF9" s="75"/>
      <c r="DG9" s="75">
        <f t="shared" si="24"/>
        <v>0</v>
      </c>
      <c r="DH9" s="75">
        <f t="shared" si="25"/>
        <v>0</v>
      </c>
      <c r="DI9" s="75"/>
      <c r="DJ9" s="75">
        <f t="shared" si="26"/>
        <v>0</v>
      </c>
      <c r="DK9" s="75">
        <f t="shared" si="27"/>
        <v>0</v>
      </c>
      <c r="DL9" s="75">
        <f t="shared" si="28"/>
        <v>1472088</v>
      </c>
      <c r="DM9" s="75">
        <f t="shared" si="29"/>
        <v>0</v>
      </c>
      <c r="DN9" s="75">
        <f t="shared" si="30"/>
        <v>0</v>
      </c>
      <c r="DO9" s="75">
        <f t="shared" si="31"/>
        <v>0</v>
      </c>
      <c r="DP9" s="75">
        <f t="shared" si="32"/>
        <v>0</v>
      </c>
      <c r="DQ9" s="75"/>
      <c r="DR9" s="75">
        <f t="shared" si="33"/>
        <v>0</v>
      </c>
    </row>
    <row r="10" spans="1:122" ht="43.5" customHeight="1" x14ac:dyDescent="0.25">
      <c r="A10" s="226"/>
      <c r="B10" s="134" t="s">
        <v>501</v>
      </c>
      <c r="C10" s="82" t="s">
        <v>500</v>
      </c>
      <c r="D10" s="81" t="s">
        <v>499</v>
      </c>
      <c r="E10" s="97">
        <v>510</v>
      </c>
      <c r="F10" s="78" t="s">
        <v>498</v>
      </c>
      <c r="G10" s="227">
        <v>95000000</v>
      </c>
      <c r="H10" s="79">
        <f t="shared" si="0"/>
        <v>2628860</v>
      </c>
      <c r="I10" s="79">
        <f t="shared" si="1"/>
        <v>16371140</v>
      </c>
      <c r="J10" s="227" t="s">
        <v>497</v>
      </c>
      <c r="K10" s="227" t="s">
        <v>496</v>
      </c>
      <c r="L10" s="78"/>
      <c r="M10" s="75">
        <f t="shared" si="2"/>
        <v>19000000</v>
      </c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>
        <f>5000000+10000000+4000000</f>
        <v>19000000</v>
      </c>
      <c r="AI10" s="25">
        <f t="shared" si="3"/>
        <v>1</v>
      </c>
      <c r="AJ10" s="75">
        <f t="shared" si="4"/>
        <v>19000000</v>
      </c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>
        <f>+'[2]JULIO 2015'!$AD$1778</f>
        <v>19000000</v>
      </c>
      <c r="BE10" s="25">
        <f t="shared" si="5"/>
        <v>0</v>
      </c>
      <c r="BF10" s="75">
        <f t="shared" si="6"/>
        <v>0</v>
      </c>
      <c r="BG10" s="75">
        <f t="shared" si="7"/>
        <v>0</v>
      </c>
      <c r="BH10" s="75">
        <f t="shared" si="8"/>
        <v>0</v>
      </c>
      <c r="BI10" s="75"/>
      <c r="BJ10" s="75">
        <f t="shared" si="9"/>
        <v>0</v>
      </c>
      <c r="BK10" s="75"/>
      <c r="BL10" s="75">
        <f t="shared" si="10"/>
        <v>0</v>
      </c>
      <c r="BM10" s="75">
        <f t="shared" si="11"/>
        <v>0</v>
      </c>
      <c r="BN10" s="75"/>
      <c r="BO10" s="75">
        <f>+V10-AS10</f>
        <v>0</v>
      </c>
      <c r="BP10" s="75">
        <f>+W10-AT10</f>
        <v>0</v>
      </c>
      <c r="BQ10" s="75">
        <f>+X10-AU10</f>
        <v>0</v>
      </c>
      <c r="BR10" s="75">
        <f t="shared" si="34"/>
        <v>0</v>
      </c>
      <c r="BS10" s="75">
        <f t="shared" si="35"/>
        <v>0</v>
      </c>
      <c r="BT10" s="75">
        <f t="shared" si="36"/>
        <v>0</v>
      </c>
      <c r="BU10" s="75">
        <f t="shared" si="37"/>
        <v>0</v>
      </c>
      <c r="BV10" s="75">
        <f t="shared" si="38"/>
        <v>0</v>
      </c>
      <c r="BW10" s="75">
        <f t="shared" si="39"/>
        <v>0</v>
      </c>
      <c r="BX10" s="75"/>
      <c r="BY10" s="75"/>
      <c r="BZ10" s="75">
        <f t="shared" si="13"/>
        <v>0</v>
      </c>
      <c r="CA10" s="25">
        <f t="shared" si="14"/>
        <v>0.13836105263157894</v>
      </c>
      <c r="CB10" s="75">
        <f t="shared" si="15"/>
        <v>2628860</v>
      </c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>
        <f>+'[2]JULIO 2015'!$H$1776</f>
        <v>2628860</v>
      </c>
      <c r="CW10" s="25">
        <f t="shared" si="16"/>
        <v>0.86163894736842106</v>
      </c>
      <c r="CX10" s="75">
        <f t="shared" si="17"/>
        <v>16371140</v>
      </c>
      <c r="CY10" s="75">
        <f t="shared" si="18"/>
        <v>0</v>
      </c>
      <c r="CZ10" s="75">
        <f t="shared" si="19"/>
        <v>0</v>
      </c>
      <c r="DA10" s="75"/>
      <c r="DB10" s="75">
        <f t="shared" si="20"/>
        <v>0</v>
      </c>
      <c r="DC10" s="75">
        <f t="shared" si="21"/>
        <v>0</v>
      </c>
      <c r="DD10" s="75">
        <f t="shared" si="22"/>
        <v>0</v>
      </c>
      <c r="DE10" s="75">
        <f t="shared" si="23"/>
        <v>0</v>
      </c>
      <c r="DF10" s="75"/>
      <c r="DG10" s="75">
        <f t="shared" si="24"/>
        <v>0</v>
      </c>
      <c r="DH10" s="75">
        <f t="shared" si="25"/>
        <v>0</v>
      </c>
      <c r="DI10" s="75"/>
      <c r="DJ10" s="75">
        <f t="shared" si="26"/>
        <v>0</v>
      </c>
      <c r="DK10" s="75">
        <f t="shared" si="27"/>
        <v>0</v>
      </c>
      <c r="DL10" s="75">
        <f t="shared" si="28"/>
        <v>0</v>
      </c>
      <c r="DM10" s="75">
        <f t="shared" si="29"/>
        <v>0</v>
      </c>
      <c r="DN10" s="75">
        <f t="shared" si="30"/>
        <v>0</v>
      </c>
      <c r="DO10" s="75">
        <f t="shared" si="31"/>
        <v>0</v>
      </c>
      <c r="DP10" s="75">
        <f t="shared" si="32"/>
        <v>0</v>
      </c>
      <c r="DQ10" s="75"/>
      <c r="DR10" s="75">
        <f t="shared" si="33"/>
        <v>16371140</v>
      </c>
    </row>
    <row r="11" spans="1:122" ht="39" customHeight="1" x14ac:dyDescent="0.25">
      <c r="A11" s="226"/>
      <c r="B11" s="134"/>
      <c r="C11" s="82" t="s">
        <v>495</v>
      </c>
      <c r="D11" s="81" t="s">
        <v>494</v>
      </c>
      <c r="E11" s="97">
        <v>510</v>
      </c>
      <c r="F11" s="78" t="s">
        <v>428</v>
      </c>
      <c r="G11" s="228"/>
      <c r="H11" s="79">
        <f t="shared" si="0"/>
        <v>800000</v>
      </c>
      <c r="I11" s="79">
        <f t="shared" si="1"/>
        <v>14200000</v>
      </c>
      <c r="J11" s="228"/>
      <c r="K11" s="228"/>
      <c r="L11" s="78"/>
      <c r="M11" s="75">
        <f t="shared" si="2"/>
        <v>15000000</v>
      </c>
      <c r="N11" s="75"/>
      <c r="O11" s="75"/>
      <c r="P11" s="75"/>
      <c r="Q11" s="75"/>
      <c r="R11" s="75"/>
      <c r="S11" s="75">
        <f>30000000-15000000</f>
        <v>15000000</v>
      </c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I11" s="25">
        <f t="shared" si="3"/>
        <v>5.3333333333333337E-2</v>
      </c>
      <c r="AJ11" s="75">
        <f t="shared" si="4"/>
        <v>800000</v>
      </c>
      <c r="AK11" s="75"/>
      <c r="AL11" s="75"/>
      <c r="AM11" s="75"/>
      <c r="AN11" s="75"/>
      <c r="AO11" s="75"/>
      <c r="AP11" s="75">
        <f>+'[1]AGOSTO 2015'!$O$2001</f>
        <v>800000</v>
      </c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25">
        <f t="shared" si="5"/>
        <v>0.94666666666666666</v>
      </c>
      <c r="BF11" s="75">
        <f t="shared" si="6"/>
        <v>14200000</v>
      </c>
      <c r="BG11" s="75">
        <f t="shared" si="7"/>
        <v>0</v>
      </c>
      <c r="BH11" s="75">
        <f t="shared" si="8"/>
        <v>0</v>
      </c>
      <c r="BI11" s="75"/>
      <c r="BJ11" s="75">
        <f t="shared" si="9"/>
        <v>0</v>
      </c>
      <c r="BK11" s="75"/>
      <c r="BL11" s="75">
        <f t="shared" si="10"/>
        <v>14200000</v>
      </c>
      <c r="BM11" s="75">
        <f t="shared" si="11"/>
        <v>0</v>
      </c>
      <c r="BN11" s="75"/>
      <c r="BO11" s="75"/>
      <c r="BP11" s="75"/>
      <c r="BQ11" s="75"/>
      <c r="BR11" s="75">
        <f t="shared" si="34"/>
        <v>0</v>
      </c>
      <c r="BS11" s="75">
        <f t="shared" si="35"/>
        <v>0</v>
      </c>
      <c r="BT11" s="75">
        <f t="shared" si="36"/>
        <v>0</v>
      </c>
      <c r="BU11" s="75">
        <f t="shared" si="37"/>
        <v>0</v>
      </c>
      <c r="BV11" s="75">
        <f t="shared" si="38"/>
        <v>0</v>
      </c>
      <c r="BW11" s="75">
        <f t="shared" si="39"/>
        <v>0</v>
      </c>
      <c r="BX11" s="75"/>
      <c r="BY11" s="75"/>
      <c r="BZ11" s="75">
        <f t="shared" si="13"/>
        <v>0</v>
      </c>
      <c r="CA11" s="25">
        <f t="shared" si="14"/>
        <v>5.3333333333333337E-2</v>
      </c>
      <c r="CB11" s="75">
        <f t="shared" si="15"/>
        <v>800000</v>
      </c>
      <c r="CC11" s="75"/>
      <c r="CD11" s="75"/>
      <c r="CE11" s="75"/>
      <c r="CF11" s="75"/>
      <c r="CG11" s="75"/>
      <c r="CH11" s="75">
        <f>+'[1]AGOSTO 2015'!$H$1999</f>
        <v>800000</v>
      </c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25">
        <f t="shared" si="16"/>
        <v>0.94666666666666666</v>
      </c>
      <c r="CX11" s="75">
        <f t="shared" si="17"/>
        <v>14200000</v>
      </c>
      <c r="CY11" s="75">
        <f t="shared" si="18"/>
        <v>0</v>
      </c>
      <c r="CZ11" s="75">
        <f t="shared" si="19"/>
        <v>0</v>
      </c>
      <c r="DA11" s="75"/>
      <c r="DB11" s="75">
        <f t="shared" si="20"/>
        <v>0</v>
      </c>
      <c r="DC11" s="75">
        <f t="shared" si="21"/>
        <v>0</v>
      </c>
      <c r="DD11" s="75">
        <f t="shared" si="22"/>
        <v>14200000</v>
      </c>
      <c r="DE11" s="75">
        <f t="shared" si="23"/>
        <v>0</v>
      </c>
      <c r="DF11" s="75"/>
      <c r="DG11" s="75">
        <f t="shared" si="24"/>
        <v>0</v>
      </c>
      <c r="DH11" s="75">
        <f t="shared" si="25"/>
        <v>0</v>
      </c>
      <c r="DI11" s="75"/>
      <c r="DJ11" s="75">
        <f t="shared" si="26"/>
        <v>0</v>
      </c>
      <c r="DK11" s="75">
        <f t="shared" si="27"/>
        <v>0</v>
      </c>
      <c r="DL11" s="75">
        <f t="shared" si="28"/>
        <v>0</v>
      </c>
      <c r="DM11" s="75">
        <f t="shared" si="29"/>
        <v>0</v>
      </c>
      <c r="DN11" s="75">
        <f t="shared" si="30"/>
        <v>0</v>
      </c>
      <c r="DO11" s="75">
        <f t="shared" si="31"/>
        <v>0</v>
      </c>
      <c r="DP11" s="75">
        <f t="shared" si="32"/>
        <v>0</v>
      </c>
      <c r="DQ11" s="75"/>
      <c r="DR11" s="75">
        <f t="shared" si="33"/>
        <v>0</v>
      </c>
    </row>
    <row r="12" spans="1:122" ht="34.5" customHeight="1" x14ac:dyDescent="0.25">
      <c r="A12" s="226"/>
      <c r="B12" s="134"/>
      <c r="C12" s="82" t="s">
        <v>493</v>
      </c>
      <c r="D12" s="81" t="s">
        <v>492</v>
      </c>
      <c r="E12" s="97">
        <v>510</v>
      </c>
      <c r="F12" s="78" t="s">
        <v>428</v>
      </c>
      <c r="G12" s="228"/>
      <c r="H12" s="79">
        <f t="shared" si="0"/>
        <v>10000000</v>
      </c>
      <c r="I12" s="79">
        <f t="shared" si="1"/>
        <v>0</v>
      </c>
      <c r="J12" s="228"/>
      <c r="K12" s="228"/>
      <c r="L12" s="78"/>
      <c r="M12" s="75">
        <f t="shared" si="2"/>
        <v>10000000</v>
      </c>
      <c r="N12" s="75"/>
      <c r="O12" s="75"/>
      <c r="P12" s="75"/>
      <c r="Q12" s="75"/>
      <c r="R12" s="75"/>
      <c r="S12" s="75">
        <v>10000000</v>
      </c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I12" s="25">
        <f t="shared" si="3"/>
        <v>1</v>
      </c>
      <c r="AJ12" s="75">
        <f t="shared" si="4"/>
        <v>10000000</v>
      </c>
      <c r="AK12" s="75"/>
      <c r="AL12" s="75"/>
      <c r="AM12" s="75"/>
      <c r="AN12" s="75"/>
      <c r="AO12" s="75"/>
      <c r="AP12" s="75">
        <f>+'[3]ABRIL 2015'!$N$1193</f>
        <v>10000000</v>
      </c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25">
        <f t="shared" si="5"/>
        <v>0</v>
      </c>
      <c r="BF12" s="75">
        <f t="shared" si="6"/>
        <v>0</v>
      </c>
      <c r="BG12" s="75">
        <f t="shared" si="7"/>
        <v>0</v>
      </c>
      <c r="BH12" s="75">
        <f t="shared" si="8"/>
        <v>0</v>
      </c>
      <c r="BI12" s="75"/>
      <c r="BJ12" s="75">
        <f t="shared" si="9"/>
        <v>0</v>
      </c>
      <c r="BK12" s="75"/>
      <c r="BL12" s="75">
        <f t="shared" si="10"/>
        <v>0</v>
      </c>
      <c r="BM12" s="75">
        <f t="shared" si="11"/>
        <v>0</v>
      </c>
      <c r="BN12" s="75"/>
      <c r="BO12" s="75"/>
      <c r="BP12" s="75"/>
      <c r="BQ12" s="75"/>
      <c r="BR12" s="75">
        <f t="shared" si="34"/>
        <v>0</v>
      </c>
      <c r="BS12" s="75">
        <f t="shared" si="35"/>
        <v>0</v>
      </c>
      <c r="BT12" s="75">
        <f t="shared" si="36"/>
        <v>0</v>
      </c>
      <c r="BU12" s="75">
        <f t="shared" si="37"/>
        <v>0</v>
      </c>
      <c r="BV12" s="75">
        <f t="shared" si="38"/>
        <v>0</v>
      </c>
      <c r="BW12" s="75">
        <f t="shared" si="39"/>
        <v>0</v>
      </c>
      <c r="BX12" s="75"/>
      <c r="BY12" s="75"/>
      <c r="BZ12" s="75">
        <f t="shared" si="13"/>
        <v>0</v>
      </c>
      <c r="CA12" s="25">
        <f t="shared" si="14"/>
        <v>1</v>
      </c>
      <c r="CB12" s="75">
        <f t="shared" si="15"/>
        <v>10000000</v>
      </c>
      <c r="CC12" s="75"/>
      <c r="CD12" s="75"/>
      <c r="CE12" s="75"/>
      <c r="CF12" s="75"/>
      <c r="CG12" s="75"/>
      <c r="CH12" s="75">
        <f>+'[3]ABRIL 2015'!$H$1194</f>
        <v>10000000</v>
      </c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25">
        <f t="shared" si="16"/>
        <v>0</v>
      </c>
      <c r="CX12" s="75">
        <f t="shared" si="17"/>
        <v>0</v>
      </c>
      <c r="CY12" s="75">
        <f t="shared" si="18"/>
        <v>0</v>
      </c>
      <c r="CZ12" s="75">
        <f t="shared" si="19"/>
        <v>0</v>
      </c>
      <c r="DA12" s="75"/>
      <c r="DB12" s="75">
        <f t="shared" si="20"/>
        <v>0</v>
      </c>
      <c r="DC12" s="75">
        <f t="shared" si="21"/>
        <v>0</v>
      </c>
      <c r="DD12" s="75">
        <f t="shared" si="22"/>
        <v>0</v>
      </c>
      <c r="DE12" s="75">
        <f t="shared" si="23"/>
        <v>0</v>
      </c>
      <c r="DF12" s="75"/>
      <c r="DG12" s="75">
        <f t="shared" si="24"/>
        <v>0</v>
      </c>
      <c r="DH12" s="75">
        <f t="shared" si="25"/>
        <v>0</v>
      </c>
      <c r="DI12" s="75"/>
      <c r="DJ12" s="75">
        <f t="shared" si="26"/>
        <v>0</v>
      </c>
      <c r="DK12" s="75">
        <f t="shared" si="27"/>
        <v>0</v>
      </c>
      <c r="DL12" s="75">
        <f t="shared" si="28"/>
        <v>0</v>
      </c>
      <c r="DM12" s="75">
        <f t="shared" si="29"/>
        <v>0</v>
      </c>
      <c r="DN12" s="75">
        <f t="shared" si="30"/>
        <v>0</v>
      </c>
      <c r="DO12" s="75">
        <f t="shared" si="31"/>
        <v>0</v>
      </c>
      <c r="DP12" s="75">
        <f t="shared" si="32"/>
        <v>0</v>
      </c>
      <c r="DQ12" s="75"/>
      <c r="DR12" s="75">
        <f t="shared" si="33"/>
        <v>0</v>
      </c>
    </row>
    <row r="13" spans="1:122" ht="52.5" customHeight="1" x14ac:dyDescent="0.25">
      <c r="A13" s="226"/>
      <c r="B13" s="134"/>
      <c r="C13" s="82" t="s">
        <v>491</v>
      </c>
      <c r="D13" s="81" t="s">
        <v>490</v>
      </c>
      <c r="E13" s="97">
        <v>510</v>
      </c>
      <c r="F13" s="78" t="s">
        <v>428</v>
      </c>
      <c r="G13" s="228"/>
      <c r="H13" s="79">
        <f t="shared" si="0"/>
        <v>5100000</v>
      </c>
      <c r="I13" s="79">
        <f t="shared" si="1"/>
        <v>24900000</v>
      </c>
      <c r="J13" s="228"/>
      <c r="K13" s="228"/>
      <c r="L13" s="78"/>
      <c r="M13" s="75">
        <f t="shared" si="2"/>
        <v>30000000</v>
      </c>
      <c r="N13" s="75"/>
      <c r="O13" s="75"/>
      <c r="P13" s="75"/>
      <c r="Q13" s="75"/>
      <c r="R13" s="75"/>
      <c r="S13" s="75">
        <v>30000000</v>
      </c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I13" s="25">
        <f t="shared" si="3"/>
        <v>0.22085333333333335</v>
      </c>
      <c r="AJ13" s="75">
        <f t="shared" si="4"/>
        <v>6625600</v>
      </c>
      <c r="AK13" s="75"/>
      <c r="AL13" s="75"/>
      <c r="AM13" s="75"/>
      <c r="AN13" s="75"/>
      <c r="AO13" s="75"/>
      <c r="AP13" s="75">
        <f>+'[1]AGOSTO 2015'!$O$2012</f>
        <v>6625600</v>
      </c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25">
        <f t="shared" si="5"/>
        <v>0.77914666666666665</v>
      </c>
      <c r="BF13" s="75">
        <f t="shared" si="6"/>
        <v>23374400</v>
      </c>
      <c r="BG13" s="75">
        <f t="shared" si="7"/>
        <v>0</v>
      </c>
      <c r="BH13" s="75">
        <f t="shared" si="8"/>
        <v>0</v>
      </c>
      <c r="BI13" s="75"/>
      <c r="BJ13" s="75">
        <f t="shared" si="9"/>
        <v>0</v>
      </c>
      <c r="BK13" s="75"/>
      <c r="BL13" s="75">
        <f t="shared" si="10"/>
        <v>23374400</v>
      </c>
      <c r="BM13" s="75">
        <f t="shared" si="11"/>
        <v>0</v>
      </c>
      <c r="BN13" s="75"/>
      <c r="BO13" s="75"/>
      <c r="BP13" s="75"/>
      <c r="BQ13" s="75"/>
      <c r="BR13" s="75">
        <f t="shared" si="34"/>
        <v>0</v>
      </c>
      <c r="BS13" s="75">
        <f t="shared" si="35"/>
        <v>0</v>
      </c>
      <c r="BT13" s="75">
        <f t="shared" si="36"/>
        <v>0</v>
      </c>
      <c r="BU13" s="75">
        <f t="shared" si="37"/>
        <v>0</v>
      </c>
      <c r="BV13" s="75">
        <f t="shared" si="38"/>
        <v>0</v>
      </c>
      <c r="BW13" s="75">
        <f t="shared" si="39"/>
        <v>0</v>
      </c>
      <c r="BX13" s="75"/>
      <c r="BY13" s="75"/>
      <c r="BZ13" s="75">
        <f t="shared" si="13"/>
        <v>0</v>
      </c>
      <c r="CA13" s="25">
        <f t="shared" si="14"/>
        <v>0.17</v>
      </c>
      <c r="CB13" s="75">
        <f t="shared" si="15"/>
        <v>5100000</v>
      </c>
      <c r="CC13" s="75"/>
      <c r="CD13" s="75"/>
      <c r="CE13" s="75"/>
      <c r="CF13" s="75"/>
      <c r="CG13" s="75"/>
      <c r="CH13" s="75">
        <f>+'[1]AGOSTO 2015'!$H$2010</f>
        <v>5100000</v>
      </c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25">
        <f t="shared" si="16"/>
        <v>0.83</v>
      </c>
      <c r="CX13" s="75">
        <f t="shared" si="17"/>
        <v>24900000</v>
      </c>
      <c r="CY13" s="75">
        <f t="shared" si="18"/>
        <v>0</v>
      </c>
      <c r="CZ13" s="75">
        <f t="shared" si="19"/>
        <v>0</v>
      </c>
      <c r="DA13" s="75"/>
      <c r="DB13" s="75">
        <f t="shared" si="20"/>
        <v>0</v>
      </c>
      <c r="DC13" s="75">
        <f t="shared" si="21"/>
        <v>0</v>
      </c>
      <c r="DD13" s="75">
        <f t="shared" si="22"/>
        <v>24900000</v>
      </c>
      <c r="DE13" s="75">
        <f t="shared" si="23"/>
        <v>0</v>
      </c>
      <c r="DF13" s="75"/>
      <c r="DG13" s="75">
        <f t="shared" si="24"/>
        <v>0</v>
      </c>
      <c r="DH13" s="75">
        <f t="shared" si="25"/>
        <v>0</v>
      </c>
      <c r="DI13" s="75"/>
      <c r="DJ13" s="75">
        <f t="shared" si="26"/>
        <v>0</v>
      </c>
      <c r="DK13" s="75">
        <f t="shared" si="27"/>
        <v>0</v>
      </c>
      <c r="DL13" s="75">
        <f t="shared" si="28"/>
        <v>0</v>
      </c>
      <c r="DM13" s="75">
        <f t="shared" si="29"/>
        <v>0</v>
      </c>
      <c r="DN13" s="75">
        <f t="shared" si="30"/>
        <v>0</v>
      </c>
      <c r="DO13" s="75">
        <f t="shared" si="31"/>
        <v>0</v>
      </c>
      <c r="DP13" s="75">
        <f t="shared" si="32"/>
        <v>0</v>
      </c>
      <c r="DQ13" s="75"/>
      <c r="DR13" s="75">
        <f t="shared" si="33"/>
        <v>0</v>
      </c>
    </row>
    <row r="14" spans="1:122" ht="39" customHeight="1" x14ac:dyDescent="0.25">
      <c r="A14" s="226"/>
      <c r="B14" s="134"/>
      <c r="C14" s="82" t="s">
        <v>489</v>
      </c>
      <c r="D14" s="81" t="s">
        <v>488</v>
      </c>
      <c r="E14" s="97">
        <v>510</v>
      </c>
      <c r="F14" s="78" t="s">
        <v>428</v>
      </c>
      <c r="G14" s="228"/>
      <c r="H14" s="79">
        <f t="shared" si="0"/>
        <v>0</v>
      </c>
      <c r="I14" s="79">
        <f t="shared" si="1"/>
        <v>15000000</v>
      </c>
      <c r="J14" s="228"/>
      <c r="K14" s="228"/>
      <c r="L14" s="78"/>
      <c r="M14" s="75">
        <f t="shared" si="2"/>
        <v>15000000</v>
      </c>
      <c r="N14" s="75"/>
      <c r="O14" s="75"/>
      <c r="P14" s="75"/>
      <c r="Q14" s="75"/>
      <c r="R14" s="75"/>
      <c r="S14" s="75">
        <v>15000000</v>
      </c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I14" s="25">
        <f t="shared" si="3"/>
        <v>0</v>
      </c>
      <c r="AJ14" s="75">
        <f t="shared" si="4"/>
        <v>0</v>
      </c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25">
        <f t="shared" si="5"/>
        <v>1</v>
      </c>
      <c r="BF14" s="75">
        <f t="shared" si="6"/>
        <v>15000000</v>
      </c>
      <c r="BG14" s="75">
        <f t="shared" si="7"/>
        <v>0</v>
      </c>
      <c r="BH14" s="75">
        <f t="shared" si="8"/>
        <v>0</v>
      </c>
      <c r="BI14" s="75"/>
      <c r="BJ14" s="75">
        <f t="shared" si="9"/>
        <v>0</v>
      </c>
      <c r="BK14" s="75"/>
      <c r="BL14" s="75">
        <f t="shared" si="10"/>
        <v>15000000</v>
      </c>
      <c r="BM14" s="75">
        <f t="shared" si="11"/>
        <v>0</v>
      </c>
      <c r="BN14" s="75"/>
      <c r="BO14" s="75"/>
      <c r="BP14" s="75"/>
      <c r="BQ14" s="75"/>
      <c r="BR14" s="75">
        <f t="shared" si="34"/>
        <v>0</v>
      </c>
      <c r="BS14" s="75">
        <f t="shared" si="35"/>
        <v>0</v>
      </c>
      <c r="BT14" s="75">
        <f t="shared" si="36"/>
        <v>0</v>
      </c>
      <c r="BU14" s="75">
        <f t="shared" si="37"/>
        <v>0</v>
      </c>
      <c r="BV14" s="75">
        <f t="shared" si="38"/>
        <v>0</v>
      </c>
      <c r="BW14" s="75">
        <f t="shared" si="39"/>
        <v>0</v>
      </c>
      <c r="BX14" s="75"/>
      <c r="BY14" s="75"/>
      <c r="BZ14" s="75">
        <f t="shared" si="13"/>
        <v>0</v>
      </c>
      <c r="CA14" s="25">
        <f t="shared" si="14"/>
        <v>0</v>
      </c>
      <c r="CB14" s="75">
        <f t="shared" si="15"/>
        <v>0</v>
      </c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25">
        <f t="shared" si="16"/>
        <v>1</v>
      </c>
      <c r="CX14" s="75">
        <f t="shared" si="17"/>
        <v>15000000</v>
      </c>
      <c r="CY14" s="75">
        <f t="shared" si="18"/>
        <v>0</v>
      </c>
      <c r="CZ14" s="75">
        <f t="shared" si="19"/>
        <v>0</v>
      </c>
      <c r="DA14" s="75"/>
      <c r="DB14" s="75">
        <f t="shared" si="20"/>
        <v>0</v>
      </c>
      <c r="DC14" s="75">
        <f t="shared" si="21"/>
        <v>0</v>
      </c>
      <c r="DD14" s="75">
        <f t="shared" si="22"/>
        <v>15000000</v>
      </c>
      <c r="DE14" s="75">
        <f t="shared" si="23"/>
        <v>0</v>
      </c>
      <c r="DF14" s="75"/>
      <c r="DG14" s="75">
        <f t="shared" si="24"/>
        <v>0</v>
      </c>
      <c r="DH14" s="75">
        <f t="shared" si="25"/>
        <v>0</v>
      </c>
      <c r="DI14" s="75"/>
      <c r="DJ14" s="75">
        <f t="shared" si="26"/>
        <v>0</v>
      </c>
      <c r="DK14" s="75">
        <f t="shared" si="27"/>
        <v>0</v>
      </c>
      <c r="DL14" s="75">
        <f t="shared" si="28"/>
        <v>0</v>
      </c>
      <c r="DM14" s="75">
        <f t="shared" si="29"/>
        <v>0</v>
      </c>
      <c r="DN14" s="75">
        <f t="shared" si="30"/>
        <v>0</v>
      </c>
      <c r="DO14" s="75">
        <f t="shared" si="31"/>
        <v>0</v>
      </c>
      <c r="DP14" s="75">
        <f t="shared" si="32"/>
        <v>0</v>
      </c>
      <c r="DQ14" s="75"/>
      <c r="DR14" s="75">
        <f t="shared" si="33"/>
        <v>0</v>
      </c>
    </row>
    <row r="15" spans="1:122" ht="33" customHeight="1" x14ac:dyDescent="0.25">
      <c r="A15" s="226"/>
      <c r="B15" s="134"/>
      <c r="C15" s="82" t="s">
        <v>487</v>
      </c>
      <c r="D15" s="81" t="s">
        <v>486</v>
      </c>
      <c r="E15" s="97">
        <v>510</v>
      </c>
      <c r="F15" s="78" t="s">
        <v>428</v>
      </c>
      <c r="G15" s="228"/>
      <c r="H15" s="79">
        <f t="shared" si="0"/>
        <v>0</v>
      </c>
      <c r="I15" s="79">
        <f t="shared" si="1"/>
        <v>10000000</v>
      </c>
      <c r="J15" s="228"/>
      <c r="K15" s="228"/>
      <c r="L15" s="78"/>
      <c r="M15" s="75">
        <f t="shared" si="2"/>
        <v>10000000</v>
      </c>
      <c r="N15" s="75"/>
      <c r="O15" s="75"/>
      <c r="P15" s="75"/>
      <c r="Q15" s="75"/>
      <c r="R15" s="75"/>
      <c r="S15" s="75">
        <v>10000000</v>
      </c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I15" s="25">
        <f t="shared" si="3"/>
        <v>0</v>
      </c>
      <c r="AJ15" s="75">
        <f t="shared" si="4"/>
        <v>0</v>
      </c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25">
        <f t="shared" si="5"/>
        <v>1</v>
      </c>
      <c r="BF15" s="75">
        <f t="shared" si="6"/>
        <v>10000000</v>
      </c>
      <c r="BG15" s="75">
        <f t="shared" si="7"/>
        <v>0</v>
      </c>
      <c r="BH15" s="75">
        <f t="shared" si="8"/>
        <v>0</v>
      </c>
      <c r="BI15" s="75"/>
      <c r="BJ15" s="75">
        <f t="shared" si="9"/>
        <v>0</v>
      </c>
      <c r="BK15" s="75"/>
      <c r="BL15" s="75">
        <f t="shared" si="10"/>
        <v>10000000</v>
      </c>
      <c r="BM15" s="75">
        <f t="shared" si="11"/>
        <v>0</v>
      </c>
      <c r="BN15" s="75"/>
      <c r="BO15" s="75"/>
      <c r="BP15" s="75"/>
      <c r="BQ15" s="75"/>
      <c r="BR15" s="75">
        <f t="shared" si="34"/>
        <v>0</v>
      </c>
      <c r="BS15" s="75">
        <f t="shared" si="35"/>
        <v>0</v>
      </c>
      <c r="BT15" s="75">
        <f t="shared" si="36"/>
        <v>0</v>
      </c>
      <c r="BU15" s="75">
        <f t="shared" si="37"/>
        <v>0</v>
      </c>
      <c r="BV15" s="75">
        <f t="shared" si="38"/>
        <v>0</v>
      </c>
      <c r="BW15" s="75">
        <f t="shared" si="39"/>
        <v>0</v>
      </c>
      <c r="BX15" s="75"/>
      <c r="BY15" s="75"/>
      <c r="BZ15" s="75">
        <f t="shared" si="13"/>
        <v>0</v>
      </c>
      <c r="CA15" s="25">
        <f t="shared" si="14"/>
        <v>0</v>
      </c>
      <c r="CB15" s="75">
        <f t="shared" si="15"/>
        <v>0</v>
      </c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5"/>
      <c r="CO15" s="75"/>
      <c r="CP15" s="75"/>
      <c r="CQ15" s="75"/>
      <c r="CR15" s="75"/>
      <c r="CS15" s="75"/>
      <c r="CT15" s="75"/>
      <c r="CU15" s="75"/>
      <c r="CV15" s="75"/>
      <c r="CW15" s="25">
        <f t="shared" si="16"/>
        <v>1</v>
      </c>
      <c r="CX15" s="75">
        <f t="shared" si="17"/>
        <v>10000000</v>
      </c>
      <c r="CY15" s="75">
        <f t="shared" si="18"/>
        <v>0</v>
      </c>
      <c r="CZ15" s="75">
        <f t="shared" si="19"/>
        <v>0</v>
      </c>
      <c r="DA15" s="75"/>
      <c r="DB15" s="75">
        <f t="shared" si="20"/>
        <v>0</v>
      </c>
      <c r="DC15" s="75">
        <f t="shared" si="21"/>
        <v>0</v>
      </c>
      <c r="DD15" s="75">
        <f t="shared" si="22"/>
        <v>10000000</v>
      </c>
      <c r="DE15" s="75">
        <f t="shared" si="23"/>
        <v>0</v>
      </c>
      <c r="DF15" s="75"/>
      <c r="DG15" s="75">
        <f t="shared" si="24"/>
        <v>0</v>
      </c>
      <c r="DH15" s="75">
        <f t="shared" si="25"/>
        <v>0</v>
      </c>
      <c r="DI15" s="75"/>
      <c r="DJ15" s="75">
        <f t="shared" si="26"/>
        <v>0</v>
      </c>
      <c r="DK15" s="75">
        <f t="shared" si="27"/>
        <v>0</v>
      </c>
      <c r="DL15" s="75">
        <f t="shared" si="28"/>
        <v>0</v>
      </c>
      <c r="DM15" s="75">
        <f t="shared" si="29"/>
        <v>0</v>
      </c>
      <c r="DN15" s="75">
        <f t="shared" si="30"/>
        <v>0</v>
      </c>
      <c r="DO15" s="75">
        <f t="shared" si="31"/>
        <v>0</v>
      </c>
      <c r="DP15" s="75">
        <f t="shared" si="32"/>
        <v>0</v>
      </c>
      <c r="DQ15" s="75"/>
      <c r="DR15" s="75">
        <f t="shared" si="33"/>
        <v>0</v>
      </c>
    </row>
    <row r="16" spans="1:122" ht="29.25" customHeight="1" x14ac:dyDescent="0.25">
      <c r="A16" s="226"/>
      <c r="B16" s="134"/>
      <c r="C16" s="82" t="s">
        <v>485</v>
      </c>
      <c r="D16" s="81" t="s">
        <v>484</v>
      </c>
      <c r="E16" s="97">
        <v>510</v>
      </c>
      <c r="F16" s="78" t="s">
        <v>428</v>
      </c>
      <c r="G16" s="229"/>
      <c r="H16" s="79">
        <f t="shared" si="0"/>
        <v>0</v>
      </c>
      <c r="I16" s="79">
        <f t="shared" si="1"/>
        <v>0</v>
      </c>
      <c r="J16" s="229"/>
      <c r="K16" s="229"/>
      <c r="L16" s="78"/>
      <c r="M16" s="75">
        <f t="shared" si="2"/>
        <v>0</v>
      </c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>
        <f>100000000-100000000</f>
        <v>0</v>
      </c>
      <c r="AC16" s="75"/>
      <c r="AD16" s="75"/>
      <c r="AE16" s="75"/>
      <c r="AF16" s="75"/>
      <c r="AG16" s="75"/>
      <c r="AI16" s="25" t="e">
        <f t="shared" si="3"/>
        <v>#DIV/0!</v>
      </c>
      <c r="AJ16" s="75">
        <f t="shared" si="4"/>
        <v>0</v>
      </c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25" t="e">
        <f t="shared" si="5"/>
        <v>#DIV/0!</v>
      </c>
      <c r="BF16" s="75">
        <f t="shared" si="6"/>
        <v>0</v>
      </c>
      <c r="BG16" s="75">
        <f t="shared" si="7"/>
        <v>0</v>
      </c>
      <c r="BH16" s="75">
        <f t="shared" si="8"/>
        <v>0</v>
      </c>
      <c r="BI16" s="75"/>
      <c r="BJ16" s="75">
        <f t="shared" si="9"/>
        <v>0</v>
      </c>
      <c r="BK16" s="75"/>
      <c r="BL16" s="75">
        <f t="shared" si="10"/>
        <v>0</v>
      </c>
      <c r="BM16" s="75">
        <f t="shared" si="11"/>
        <v>0</v>
      </c>
      <c r="BN16" s="75"/>
      <c r="BO16" s="75"/>
      <c r="BP16" s="75"/>
      <c r="BQ16" s="75"/>
      <c r="BR16" s="75">
        <f t="shared" si="34"/>
        <v>0</v>
      </c>
      <c r="BS16" s="75">
        <f t="shared" si="35"/>
        <v>0</v>
      </c>
      <c r="BT16" s="75">
        <f t="shared" si="36"/>
        <v>0</v>
      </c>
      <c r="BU16" s="75">
        <f t="shared" si="37"/>
        <v>0</v>
      </c>
      <c r="BV16" s="75">
        <f t="shared" si="38"/>
        <v>0</v>
      </c>
      <c r="BW16" s="75">
        <f t="shared" si="39"/>
        <v>0</v>
      </c>
      <c r="BX16" s="75"/>
      <c r="BY16" s="75"/>
      <c r="BZ16" s="75">
        <f t="shared" si="13"/>
        <v>0</v>
      </c>
      <c r="CA16" s="25" t="e">
        <f t="shared" si="14"/>
        <v>#DIV/0!</v>
      </c>
      <c r="CB16" s="75">
        <f t="shared" si="15"/>
        <v>0</v>
      </c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25" t="e">
        <f t="shared" si="16"/>
        <v>#DIV/0!</v>
      </c>
      <c r="CX16" s="75">
        <f t="shared" si="17"/>
        <v>0</v>
      </c>
      <c r="CY16" s="75">
        <f t="shared" si="18"/>
        <v>0</v>
      </c>
      <c r="CZ16" s="75">
        <f t="shared" si="19"/>
        <v>0</v>
      </c>
      <c r="DA16" s="75"/>
      <c r="DB16" s="75">
        <f t="shared" si="20"/>
        <v>0</v>
      </c>
      <c r="DC16" s="75">
        <f t="shared" si="21"/>
        <v>0</v>
      </c>
      <c r="DD16" s="75">
        <f t="shared" si="22"/>
        <v>0</v>
      </c>
      <c r="DE16" s="75">
        <f t="shared" si="23"/>
        <v>0</v>
      </c>
      <c r="DF16" s="75"/>
      <c r="DG16" s="75">
        <f t="shared" si="24"/>
        <v>0</v>
      </c>
      <c r="DH16" s="75">
        <f t="shared" si="25"/>
        <v>0</v>
      </c>
      <c r="DI16" s="75"/>
      <c r="DJ16" s="75">
        <f t="shared" si="26"/>
        <v>0</v>
      </c>
      <c r="DK16" s="75">
        <f t="shared" si="27"/>
        <v>0</v>
      </c>
      <c r="DL16" s="75">
        <f t="shared" si="28"/>
        <v>0</v>
      </c>
      <c r="DM16" s="75">
        <f t="shared" si="29"/>
        <v>0</v>
      </c>
      <c r="DN16" s="75">
        <f t="shared" si="30"/>
        <v>0</v>
      </c>
      <c r="DO16" s="75">
        <f t="shared" si="31"/>
        <v>0</v>
      </c>
      <c r="DP16" s="75">
        <f t="shared" si="32"/>
        <v>0</v>
      </c>
      <c r="DQ16" s="75"/>
      <c r="DR16" s="75">
        <f t="shared" si="33"/>
        <v>0</v>
      </c>
    </row>
    <row r="17" spans="1:122" ht="66.75" customHeight="1" x14ac:dyDescent="0.25">
      <c r="A17" s="226"/>
      <c r="B17" s="140" t="s">
        <v>483</v>
      </c>
      <c r="C17" s="82" t="s">
        <v>482</v>
      </c>
      <c r="D17" s="81" t="s">
        <v>481</v>
      </c>
      <c r="E17" s="97">
        <v>310</v>
      </c>
      <c r="F17" s="78" t="s">
        <v>480</v>
      </c>
      <c r="G17" s="227">
        <v>916000000</v>
      </c>
      <c r="H17" s="79">
        <f t="shared" si="0"/>
        <v>196858180</v>
      </c>
      <c r="I17" s="79">
        <f t="shared" si="1"/>
        <v>438065439</v>
      </c>
      <c r="J17" s="227" t="s">
        <v>479</v>
      </c>
      <c r="K17" s="227" t="s">
        <v>478</v>
      </c>
      <c r="L17" s="227" t="s">
        <v>477</v>
      </c>
      <c r="M17" s="75">
        <f t="shared" si="2"/>
        <v>634923619</v>
      </c>
      <c r="N17" s="75"/>
      <c r="O17" s="75"/>
      <c r="P17" s="75"/>
      <c r="Q17" s="75"/>
      <c r="R17" s="75"/>
      <c r="S17" s="75">
        <v>390000000</v>
      </c>
      <c r="T17" s="75"/>
      <c r="U17" s="75"/>
      <c r="V17" s="75"/>
      <c r="W17" s="75"/>
      <c r="X17" s="75"/>
      <c r="Y17" s="75"/>
      <c r="Z17" s="75"/>
      <c r="AA17" s="75"/>
      <c r="AB17" s="75">
        <v>150000000</v>
      </c>
      <c r="AC17" s="75"/>
      <c r="AD17" s="75"/>
      <c r="AE17" s="75"/>
      <c r="AF17" s="75"/>
      <c r="AG17" s="75">
        <f>12388298+18001909+6000000+20000000+3962083+17271329+17300000</f>
        <v>94923619</v>
      </c>
      <c r="AI17" s="25">
        <f t="shared" si="3"/>
        <v>0.37726076307770812</v>
      </c>
      <c r="AJ17" s="75">
        <f t="shared" si="4"/>
        <v>239531769</v>
      </c>
      <c r="AK17" s="75"/>
      <c r="AL17" s="75"/>
      <c r="AM17" s="75"/>
      <c r="AN17" s="75"/>
      <c r="AO17" s="75"/>
      <c r="AP17" s="75">
        <f>+'[1]AGOSTO 2015'!$O$440</f>
        <v>154777628</v>
      </c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>
        <f>+'[1]AGOSTO 2015'!$AD$440</f>
        <v>84754141</v>
      </c>
      <c r="BE17" s="25">
        <f t="shared" si="5"/>
        <v>0.62273923692229194</v>
      </c>
      <c r="BF17" s="75">
        <f t="shared" si="6"/>
        <v>395391850</v>
      </c>
      <c r="BG17" s="75">
        <f t="shared" si="7"/>
        <v>0</v>
      </c>
      <c r="BH17" s="75">
        <f t="shared" si="8"/>
        <v>0</v>
      </c>
      <c r="BI17" s="75"/>
      <c r="BJ17" s="75">
        <f t="shared" si="9"/>
        <v>0</v>
      </c>
      <c r="BK17" s="75"/>
      <c r="BL17" s="75">
        <f t="shared" si="10"/>
        <v>235222372</v>
      </c>
      <c r="BM17" s="75">
        <f t="shared" si="11"/>
        <v>0</v>
      </c>
      <c r="BN17" s="75"/>
      <c r="BO17" s="75"/>
      <c r="BP17" s="75"/>
      <c r="BQ17" s="75"/>
      <c r="BR17" s="75">
        <f t="shared" si="34"/>
        <v>0</v>
      </c>
      <c r="BS17" s="75">
        <f t="shared" si="35"/>
        <v>0</v>
      </c>
      <c r="BT17" s="75">
        <f t="shared" si="36"/>
        <v>0</v>
      </c>
      <c r="BU17" s="75">
        <f t="shared" si="37"/>
        <v>150000000</v>
      </c>
      <c r="BV17" s="75">
        <f t="shared" si="38"/>
        <v>0</v>
      </c>
      <c r="BW17" s="75">
        <f t="shared" si="39"/>
        <v>0</v>
      </c>
      <c r="BX17" s="75"/>
      <c r="BY17" s="75"/>
      <c r="BZ17" s="75">
        <f t="shared" si="13"/>
        <v>10169478</v>
      </c>
      <c r="CA17" s="25">
        <f t="shared" si="14"/>
        <v>0.31005017628742521</v>
      </c>
      <c r="CB17" s="75">
        <f t="shared" si="15"/>
        <v>196858180</v>
      </c>
      <c r="CC17" s="75"/>
      <c r="CD17" s="75"/>
      <c r="CE17" s="75"/>
      <c r="CF17" s="75"/>
      <c r="CG17" s="75"/>
      <c r="CH17" s="75">
        <f>+'[1]AGOSTO 2015'!$H$438-CV17</f>
        <v>153577628</v>
      </c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>
        <f>+'[1]AGOSTO 2015'!$H$441+'[1]AGOSTO 2015'!$H$465+'[1]AGOSTO 2015'!$H$471+'[1]AGOSTO 2015'!$H$490+'[1]AGOSTO 2015'!$H$571+'[1]AGOSTO 2015'!$H$633</f>
        <v>43280552</v>
      </c>
      <c r="CW17" s="25">
        <f t="shared" si="16"/>
        <v>0.68994982371257474</v>
      </c>
      <c r="CX17" s="75">
        <f t="shared" si="17"/>
        <v>438065439</v>
      </c>
      <c r="CY17" s="75">
        <f t="shared" si="18"/>
        <v>0</v>
      </c>
      <c r="CZ17" s="75">
        <f t="shared" si="19"/>
        <v>0</v>
      </c>
      <c r="DA17" s="75"/>
      <c r="DB17" s="75">
        <f t="shared" si="20"/>
        <v>0</v>
      </c>
      <c r="DC17" s="75">
        <f t="shared" si="21"/>
        <v>0</v>
      </c>
      <c r="DD17" s="75">
        <f t="shared" si="22"/>
        <v>236422372</v>
      </c>
      <c r="DE17" s="75">
        <f t="shared" si="23"/>
        <v>0</v>
      </c>
      <c r="DF17" s="75"/>
      <c r="DG17" s="75">
        <f t="shared" si="24"/>
        <v>0</v>
      </c>
      <c r="DH17" s="75">
        <f t="shared" si="25"/>
        <v>0</v>
      </c>
      <c r="DI17" s="75"/>
      <c r="DJ17" s="75">
        <f t="shared" si="26"/>
        <v>0</v>
      </c>
      <c r="DK17" s="75">
        <f t="shared" si="27"/>
        <v>0</v>
      </c>
      <c r="DL17" s="75">
        <f t="shared" si="28"/>
        <v>0</v>
      </c>
      <c r="DM17" s="75">
        <f t="shared" si="29"/>
        <v>150000000</v>
      </c>
      <c r="DN17" s="75">
        <f t="shared" si="30"/>
        <v>0</v>
      </c>
      <c r="DO17" s="75">
        <f t="shared" si="31"/>
        <v>0</v>
      </c>
      <c r="DP17" s="75">
        <f t="shared" si="32"/>
        <v>0</v>
      </c>
      <c r="DQ17" s="75"/>
      <c r="DR17" s="75">
        <f t="shared" si="33"/>
        <v>51643067</v>
      </c>
    </row>
    <row r="18" spans="1:122" ht="32.25" customHeight="1" x14ac:dyDescent="0.25">
      <c r="A18" s="226"/>
      <c r="B18" s="134"/>
      <c r="C18" s="82" t="s">
        <v>476</v>
      </c>
      <c r="D18" s="81" t="s">
        <v>475</v>
      </c>
      <c r="E18" s="97">
        <v>310</v>
      </c>
      <c r="F18" s="78" t="s">
        <v>425</v>
      </c>
      <c r="G18" s="228"/>
      <c r="H18" s="79">
        <f t="shared" si="0"/>
        <v>126849675</v>
      </c>
      <c r="I18" s="79">
        <f t="shared" si="1"/>
        <v>98135469</v>
      </c>
      <c r="J18" s="228"/>
      <c r="K18" s="228"/>
      <c r="L18" s="228"/>
      <c r="M18" s="75">
        <f t="shared" si="2"/>
        <v>224985144</v>
      </c>
      <c r="N18" s="75"/>
      <c r="O18" s="75"/>
      <c r="P18" s="75"/>
      <c r="Q18" s="75"/>
      <c r="R18" s="75"/>
      <c r="S18" s="75">
        <v>30000000</v>
      </c>
      <c r="T18" s="75">
        <f>222000000-30014856</f>
        <v>191985144</v>
      </c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>
        <v>3000000</v>
      </c>
      <c r="AH18" s="139"/>
      <c r="AI18" s="25">
        <f t="shared" si="3"/>
        <v>0.57639661310259671</v>
      </c>
      <c r="AJ18" s="75">
        <f t="shared" si="4"/>
        <v>129680675</v>
      </c>
      <c r="AK18" s="75"/>
      <c r="AL18" s="75"/>
      <c r="AM18" s="75"/>
      <c r="AN18" s="75"/>
      <c r="AO18" s="75"/>
      <c r="AP18" s="75">
        <f>+'[2]JULIO 2015'!$O$577</f>
        <v>30000000</v>
      </c>
      <c r="AQ18" s="75">
        <f>+'[1]AGOSTO 2015'!$P$654</f>
        <v>99680675</v>
      </c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25">
        <f t="shared" si="5"/>
        <v>0.42360338689740329</v>
      </c>
      <c r="BF18" s="75">
        <f t="shared" si="6"/>
        <v>95304469</v>
      </c>
      <c r="BG18" s="75">
        <f t="shared" si="7"/>
        <v>0</v>
      </c>
      <c r="BH18" s="75">
        <f t="shared" si="8"/>
        <v>0</v>
      </c>
      <c r="BI18" s="75"/>
      <c r="BJ18" s="75">
        <f t="shared" si="9"/>
        <v>0</v>
      </c>
      <c r="BK18" s="75"/>
      <c r="BL18" s="75">
        <f t="shared" si="10"/>
        <v>0</v>
      </c>
      <c r="BM18" s="75">
        <f t="shared" si="11"/>
        <v>92304469</v>
      </c>
      <c r="BN18" s="75"/>
      <c r="BO18" s="75">
        <f>+V18-AS18</f>
        <v>0</v>
      </c>
      <c r="BP18" s="75">
        <f>+W18-AT18</f>
        <v>0</v>
      </c>
      <c r="BQ18" s="75">
        <f>+X18-AU18</f>
        <v>0</v>
      </c>
      <c r="BR18" s="75">
        <f t="shared" si="34"/>
        <v>0</v>
      </c>
      <c r="BS18" s="75">
        <f t="shared" si="35"/>
        <v>0</v>
      </c>
      <c r="BT18" s="75">
        <f t="shared" si="36"/>
        <v>0</v>
      </c>
      <c r="BU18" s="75">
        <f t="shared" si="37"/>
        <v>0</v>
      </c>
      <c r="BV18" s="75">
        <f t="shared" si="38"/>
        <v>0</v>
      </c>
      <c r="BW18" s="75">
        <f t="shared" si="39"/>
        <v>0</v>
      </c>
      <c r="BX18" s="75"/>
      <c r="BY18" s="75"/>
      <c r="BZ18" s="75">
        <f t="shared" si="13"/>
        <v>3000000</v>
      </c>
      <c r="CA18" s="25">
        <f t="shared" si="14"/>
        <v>0.56381356006332584</v>
      </c>
      <c r="CB18" s="75">
        <f t="shared" si="15"/>
        <v>126849675</v>
      </c>
      <c r="CC18" s="75"/>
      <c r="CD18" s="75"/>
      <c r="CE18" s="75"/>
      <c r="CF18" s="75"/>
      <c r="CG18" s="75"/>
      <c r="CH18" s="75">
        <f>+'[1]AGOSTO 2015'!$H$655+'[1]AGOSTO 2015'!$H$656+'[1]AGOSTO 2015'!$H$657+'[1]AGOSTO 2015'!$H$658+'[1]AGOSTO 2015'!$H$660+'[1]AGOSTO 2015'!$H$662</f>
        <v>29177750</v>
      </c>
      <c r="CI18" s="75">
        <f>+'[1]AGOSTO 2015'!$H$652-CH18</f>
        <v>97671925</v>
      </c>
      <c r="CJ18" s="75"/>
      <c r="CK18" s="75"/>
      <c r="CL18" s="75"/>
      <c r="CM18" s="75"/>
      <c r="CN18" s="75"/>
      <c r="CO18" s="75"/>
      <c r="CP18" s="75"/>
      <c r="CQ18" s="75"/>
      <c r="CR18" s="75"/>
      <c r="CS18" s="75"/>
      <c r="CT18" s="75"/>
      <c r="CU18" s="75"/>
      <c r="CV18" s="75"/>
      <c r="CW18" s="25">
        <f t="shared" si="16"/>
        <v>0.43618643993667416</v>
      </c>
      <c r="CX18" s="75">
        <f t="shared" si="17"/>
        <v>98135469</v>
      </c>
      <c r="CY18" s="75">
        <f t="shared" si="18"/>
        <v>0</v>
      </c>
      <c r="CZ18" s="75">
        <f t="shared" si="19"/>
        <v>0</v>
      </c>
      <c r="DA18" s="75"/>
      <c r="DB18" s="75">
        <f t="shared" si="20"/>
        <v>0</v>
      </c>
      <c r="DC18" s="75">
        <f t="shared" si="21"/>
        <v>0</v>
      </c>
      <c r="DD18" s="75">
        <f t="shared" si="22"/>
        <v>822250</v>
      </c>
      <c r="DE18" s="75">
        <f t="shared" si="23"/>
        <v>94313219</v>
      </c>
      <c r="DF18" s="75"/>
      <c r="DG18" s="75">
        <f t="shared" si="24"/>
        <v>0</v>
      </c>
      <c r="DH18" s="75">
        <f t="shared" si="25"/>
        <v>0</v>
      </c>
      <c r="DI18" s="75"/>
      <c r="DJ18" s="75">
        <f t="shared" si="26"/>
        <v>0</v>
      </c>
      <c r="DK18" s="75">
        <f t="shared" si="27"/>
        <v>0</v>
      </c>
      <c r="DL18" s="75">
        <f t="shared" si="28"/>
        <v>0</v>
      </c>
      <c r="DM18" s="75">
        <f t="shared" si="29"/>
        <v>0</v>
      </c>
      <c r="DN18" s="75">
        <f t="shared" si="30"/>
        <v>0</v>
      </c>
      <c r="DO18" s="75">
        <f t="shared" si="31"/>
        <v>0</v>
      </c>
      <c r="DP18" s="75">
        <f t="shared" si="32"/>
        <v>0</v>
      </c>
      <c r="DQ18" s="75"/>
      <c r="DR18" s="75">
        <f t="shared" si="33"/>
        <v>3000000</v>
      </c>
    </row>
    <row r="19" spans="1:122" ht="33.75" customHeight="1" x14ac:dyDescent="0.25">
      <c r="A19" s="226"/>
      <c r="B19" s="134"/>
      <c r="C19" s="82" t="s">
        <v>474</v>
      </c>
      <c r="D19" s="81" t="s">
        <v>473</v>
      </c>
      <c r="E19" s="97">
        <v>310</v>
      </c>
      <c r="F19" s="78" t="s">
        <v>428</v>
      </c>
      <c r="G19" s="228"/>
      <c r="H19" s="79">
        <f t="shared" si="0"/>
        <v>74259184</v>
      </c>
      <c r="I19" s="79">
        <f t="shared" si="1"/>
        <v>5740816</v>
      </c>
      <c r="J19" s="228"/>
      <c r="K19" s="228"/>
      <c r="L19" s="228"/>
      <c r="M19" s="75">
        <f t="shared" si="2"/>
        <v>80000000</v>
      </c>
      <c r="N19" s="75"/>
      <c r="O19" s="75">
        <f>144000000-144000000</f>
        <v>0</v>
      </c>
      <c r="P19" s="75"/>
      <c r="Q19" s="75"/>
      <c r="R19" s="75"/>
      <c r="S19" s="75"/>
      <c r="T19" s="75">
        <f>144000000-64000000</f>
        <v>80000000</v>
      </c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139"/>
      <c r="AI19" s="25">
        <f t="shared" si="3"/>
        <v>1</v>
      </c>
      <c r="AJ19" s="75">
        <f t="shared" si="4"/>
        <v>80000000</v>
      </c>
      <c r="AK19" s="75"/>
      <c r="AL19" s="75"/>
      <c r="AM19" s="75"/>
      <c r="AN19" s="75"/>
      <c r="AO19" s="75"/>
      <c r="AP19" s="75"/>
      <c r="AQ19" s="75">
        <f>+'[4]MARZO 2015'!$O$374</f>
        <v>80000000</v>
      </c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25">
        <f t="shared" si="5"/>
        <v>0</v>
      </c>
      <c r="BF19" s="75">
        <f t="shared" si="6"/>
        <v>0</v>
      </c>
      <c r="BG19" s="75">
        <f t="shared" si="7"/>
        <v>0</v>
      </c>
      <c r="BH19" s="75">
        <f t="shared" ref="BH19:BH33" si="40">O19-AL19</f>
        <v>0</v>
      </c>
      <c r="BI19" s="75"/>
      <c r="BJ19" s="75">
        <f t="shared" si="9"/>
        <v>0</v>
      </c>
      <c r="BK19" s="75"/>
      <c r="BL19" s="75">
        <f t="shared" si="10"/>
        <v>0</v>
      </c>
      <c r="BM19" s="75">
        <f t="shared" si="11"/>
        <v>0</v>
      </c>
      <c r="BN19" s="75"/>
      <c r="BO19" s="75"/>
      <c r="BP19" s="75"/>
      <c r="BQ19" s="75"/>
      <c r="BR19" s="75">
        <f t="shared" si="34"/>
        <v>0</v>
      </c>
      <c r="BS19" s="75">
        <f t="shared" si="35"/>
        <v>0</v>
      </c>
      <c r="BT19" s="75">
        <f t="shared" si="36"/>
        <v>0</v>
      </c>
      <c r="BU19" s="75">
        <f t="shared" si="37"/>
        <v>0</v>
      </c>
      <c r="BV19" s="75">
        <f t="shared" si="38"/>
        <v>0</v>
      </c>
      <c r="BW19" s="75">
        <f t="shared" si="39"/>
        <v>0</v>
      </c>
      <c r="BX19" s="75"/>
      <c r="BY19" s="75"/>
      <c r="BZ19" s="75">
        <f t="shared" si="13"/>
        <v>0</v>
      </c>
      <c r="CA19" s="25">
        <f t="shared" si="14"/>
        <v>0.92823979999999995</v>
      </c>
      <c r="CB19" s="75">
        <f t="shared" si="15"/>
        <v>74259184</v>
      </c>
      <c r="CC19" s="75"/>
      <c r="CD19" s="75"/>
      <c r="CE19" s="75"/>
      <c r="CF19" s="75"/>
      <c r="CG19" s="75"/>
      <c r="CH19" s="75"/>
      <c r="CI19" s="75">
        <f>+'[2]JULIO 2015'!$H$596</f>
        <v>74259184</v>
      </c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25">
        <f t="shared" si="16"/>
        <v>7.1760200000000052E-2</v>
      </c>
      <c r="CX19" s="75">
        <f t="shared" si="17"/>
        <v>5740816</v>
      </c>
      <c r="CY19" s="75">
        <f t="shared" si="18"/>
        <v>0</v>
      </c>
      <c r="CZ19" s="75">
        <f t="shared" si="19"/>
        <v>0</v>
      </c>
      <c r="DA19" s="75"/>
      <c r="DB19" s="75">
        <f t="shared" si="20"/>
        <v>0</v>
      </c>
      <c r="DC19" s="75">
        <f t="shared" si="21"/>
        <v>0</v>
      </c>
      <c r="DD19" s="75">
        <f t="shared" si="22"/>
        <v>0</v>
      </c>
      <c r="DE19" s="75">
        <f t="shared" si="23"/>
        <v>5740816</v>
      </c>
      <c r="DF19" s="75"/>
      <c r="DG19" s="75">
        <f t="shared" si="24"/>
        <v>0</v>
      </c>
      <c r="DH19" s="75">
        <f t="shared" si="25"/>
        <v>0</v>
      </c>
      <c r="DI19" s="75"/>
      <c r="DJ19" s="75">
        <f t="shared" si="26"/>
        <v>0</v>
      </c>
      <c r="DK19" s="75">
        <f t="shared" si="27"/>
        <v>0</v>
      </c>
      <c r="DL19" s="75">
        <f t="shared" si="28"/>
        <v>0</v>
      </c>
      <c r="DM19" s="75">
        <f t="shared" si="29"/>
        <v>0</v>
      </c>
      <c r="DN19" s="75">
        <f t="shared" si="30"/>
        <v>0</v>
      </c>
      <c r="DO19" s="75">
        <f t="shared" si="31"/>
        <v>0</v>
      </c>
      <c r="DP19" s="75">
        <f t="shared" si="32"/>
        <v>0</v>
      </c>
      <c r="DQ19" s="75"/>
      <c r="DR19" s="75">
        <f t="shared" si="33"/>
        <v>0</v>
      </c>
    </row>
    <row r="20" spans="1:122" ht="21" customHeight="1" x14ac:dyDescent="0.25">
      <c r="A20" s="226"/>
      <c r="B20" s="134"/>
      <c r="C20" s="82" t="s">
        <v>472</v>
      </c>
      <c r="D20" s="81" t="s">
        <v>471</v>
      </c>
      <c r="E20" s="97">
        <v>310</v>
      </c>
      <c r="F20" s="78" t="s">
        <v>428</v>
      </c>
      <c r="G20" s="228"/>
      <c r="H20" s="79">
        <f t="shared" si="0"/>
        <v>0</v>
      </c>
      <c r="I20" s="79">
        <f t="shared" si="1"/>
        <v>11000000</v>
      </c>
      <c r="J20" s="228"/>
      <c r="K20" s="228"/>
      <c r="L20" s="228"/>
      <c r="M20" s="75">
        <f t="shared" si="2"/>
        <v>11000000</v>
      </c>
      <c r="N20" s="24"/>
      <c r="O20" s="45"/>
      <c r="P20" s="45"/>
      <c r="Q20" s="45"/>
      <c r="R20" s="45"/>
      <c r="S20" s="45"/>
      <c r="T20" s="75">
        <f>4000000-4000000</f>
        <v>0</v>
      </c>
      <c r="U20" s="45"/>
      <c r="V20" s="24"/>
      <c r="W20" s="24"/>
      <c r="X20" s="24"/>
      <c r="Y20" s="24"/>
      <c r="Z20" s="24"/>
      <c r="AA20" s="24"/>
      <c r="AB20" s="75">
        <v>11000000</v>
      </c>
      <c r="AC20" s="24"/>
      <c r="AD20" s="24"/>
      <c r="AE20" s="24"/>
      <c r="AF20" s="24"/>
      <c r="AG20" s="45"/>
      <c r="AH20" s="139"/>
      <c r="AI20" s="25">
        <f t="shared" si="3"/>
        <v>0</v>
      </c>
      <c r="AJ20" s="75">
        <f t="shared" si="4"/>
        <v>0</v>
      </c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25">
        <f t="shared" si="5"/>
        <v>1</v>
      </c>
      <c r="BF20" s="75">
        <f t="shared" si="6"/>
        <v>11000000</v>
      </c>
      <c r="BG20" s="75">
        <f t="shared" si="7"/>
        <v>0</v>
      </c>
      <c r="BH20" s="75">
        <f t="shared" si="40"/>
        <v>0</v>
      </c>
      <c r="BI20" s="75"/>
      <c r="BJ20" s="75">
        <f t="shared" si="9"/>
        <v>0</v>
      </c>
      <c r="BK20" s="75"/>
      <c r="BL20" s="75">
        <f t="shared" si="10"/>
        <v>0</v>
      </c>
      <c r="BM20" s="75">
        <f t="shared" si="11"/>
        <v>0</v>
      </c>
      <c r="BN20" s="75"/>
      <c r="BO20" s="75"/>
      <c r="BP20" s="75"/>
      <c r="BQ20" s="75"/>
      <c r="BR20" s="75">
        <f t="shared" si="34"/>
        <v>0</v>
      </c>
      <c r="BS20" s="75">
        <f t="shared" si="35"/>
        <v>0</v>
      </c>
      <c r="BT20" s="75">
        <f t="shared" si="36"/>
        <v>0</v>
      </c>
      <c r="BU20" s="75">
        <f t="shared" si="37"/>
        <v>11000000</v>
      </c>
      <c r="BV20" s="75">
        <f t="shared" si="38"/>
        <v>0</v>
      </c>
      <c r="BW20" s="75">
        <f t="shared" si="39"/>
        <v>0</v>
      </c>
      <c r="BX20" s="75"/>
      <c r="BY20" s="75"/>
      <c r="BZ20" s="75">
        <f t="shared" si="13"/>
        <v>0</v>
      </c>
      <c r="CA20" s="25">
        <f t="shared" si="14"/>
        <v>0</v>
      </c>
      <c r="CB20" s="75">
        <f t="shared" si="15"/>
        <v>0</v>
      </c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  <c r="CR20" s="75"/>
      <c r="CS20" s="75"/>
      <c r="CT20" s="75"/>
      <c r="CU20" s="75"/>
      <c r="CV20" s="75"/>
      <c r="CW20" s="25">
        <f t="shared" si="16"/>
        <v>1</v>
      </c>
      <c r="CX20" s="75">
        <f t="shared" si="17"/>
        <v>11000000</v>
      </c>
      <c r="CY20" s="75">
        <f t="shared" si="18"/>
        <v>0</v>
      </c>
      <c r="CZ20" s="75">
        <f t="shared" si="19"/>
        <v>0</v>
      </c>
      <c r="DA20" s="75"/>
      <c r="DB20" s="75">
        <f t="shared" si="20"/>
        <v>0</v>
      </c>
      <c r="DC20" s="75">
        <f t="shared" si="21"/>
        <v>0</v>
      </c>
      <c r="DD20" s="75">
        <f t="shared" si="22"/>
        <v>0</v>
      </c>
      <c r="DE20" s="75">
        <f t="shared" si="23"/>
        <v>0</v>
      </c>
      <c r="DF20" s="75"/>
      <c r="DG20" s="75">
        <f t="shared" si="24"/>
        <v>0</v>
      </c>
      <c r="DH20" s="75">
        <f t="shared" si="25"/>
        <v>0</v>
      </c>
      <c r="DI20" s="75"/>
      <c r="DJ20" s="75">
        <f t="shared" si="26"/>
        <v>0</v>
      </c>
      <c r="DK20" s="75">
        <f t="shared" si="27"/>
        <v>0</v>
      </c>
      <c r="DL20" s="75">
        <f t="shared" si="28"/>
        <v>0</v>
      </c>
      <c r="DM20" s="75">
        <f t="shared" si="29"/>
        <v>11000000</v>
      </c>
      <c r="DN20" s="75">
        <f t="shared" si="30"/>
        <v>0</v>
      </c>
      <c r="DO20" s="75">
        <f t="shared" si="31"/>
        <v>0</v>
      </c>
      <c r="DP20" s="75">
        <f t="shared" si="32"/>
        <v>0</v>
      </c>
      <c r="DQ20" s="75"/>
      <c r="DR20" s="75">
        <f t="shared" si="33"/>
        <v>0</v>
      </c>
    </row>
    <row r="21" spans="1:122" ht="35.25" customHeight="1" x14ac:dyDescent="0.25">
      <c r="A21" s="226"/>
      <c r="B21" s="134"/>
      <c r="C21" s="82" t="s">
        <v>470</v>
      </c>
      <c r="D21" s="81" t="s">
        <v>469</v>
      </c>
      <c r="E21" s="97">
        <v>310</v>
      </c>
      <c r="F21" s="78" t="s">
        <v>428</v>
      </c>
      <c r="G21" s="229"/>
      <c r="H21" s="79">
        <f t="shared" si="0"/>
        <v>0</v>
      </c>
      <c r="I21" s="79">
        <f t="shared" si="1"/>
        <v>50000000</v>
      </c>
      <c r="J21" s="229"/>
      <c r="K21" s="229"/>
      <c r="L21" s="229"/>
      <c r="M21" s="75">
        <f t="shared" si="2"/>
        <v>50000000</v>
      </c>
      <c r="N21" s="24"/>
      <c r="O21" s="45">
        <f>36000000-36000000</f>
        <v>0</v>
      </c>
      <c r="P21" s="45"/>
      <c r="Q21" s="45"/>
      <c r="R21" s="45"/>
      <c r="S21" s="45"/>
      <c r="T21" s="75">
        <f>34000000+36000000-20000000</f>
        <v>50000000</v>
      </c>
      <c r="U21" s="45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45"/>
      <c r="AH21" s="139"/>
      <c r="AI21" s="25">
        <f t="shared" si="3"/>
        <v>0</v>
      </c>
      <c r="AJ21" s="75">
        <f t="shared" si="4"/>
        <v>0</v>
      </c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25"/>
      <c r="BF21" s="75">
        <f t="shared" si="6"/>
        <v>50000000</v>
      </c>
      <c r="BG21" s="75">
        <f t="shared" si="7"/>
        <v>0</v>
      </c>
      <c r="BH21" s="75">
        <f t="shared" si="40"/>
        <v>0</v>
      </c>
      <c r="BI21" s="75"/>
      <c r="BJ21" s="75">
        <f t="shared" si="9"/>
        <v>0</v>
      </c>
      <c r="BK21" s="75"/>
      <c r="BL21" s="75">
        <f t="shared" si="10"/>
        <v>0</v>
      </c>
      <c r="BM21" s="75">
        <f t="shared" si="11"/>
        <v>50000000</v>
      </c>
      <c r="BN21" s="75"/>
      <c r="BO21" s="75"/>
      <c r="BP21" s="75"/>
      <c r="BQ21" s="75"/>
      <c r="BR21" s="75">
        <f t="shared" si="34"/>
        <v>0</v>
      </c>
      <c r="BS21" s="75">
        <f t="shared" si="35"/>
        <v>0</v>
      </c>
      <c r="BT21" s="75">
        <f t="shared" si="36"/>
        <v>0</v>
      </c>
      <c r="BU21" s="75">
        <f t="shared" si="37"/>
        <v>0</v>
      </c>
      <c r="BV21" s="75">
        <f t="shared" si="38"/>
        <v>0</v>
      </c>
      <c r="BW21" s="75">
        <f t="shared" si="39"/>
        <v>0</v>
      </c>
      <c r="BX21" s="75"/>
      <c r="BY21" s="75"/>
      <c r="BZ21" s="75">
        <f t="shared" si="13"/>
        <v>0</v>
      </c>
      <c r="CA21" s="25">
        <f t="shared" si="14"/>
        <v>0</v>
      </c>
      <c r="CB21" s="75">
        <f t="shared" si="15"/>
        <v>0</v>
      </c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25">
        <f t="shared" si="16"/>
        <v>1</v>
      </c>
      <c r="CX21" s="75">
        <f t="shared" si="17"/>
        <v>50000000</v>
      </c>
      <c r="CY21" s="75">
        <f t="shared" si="18"/>
        <v>0</v>
      </c>
      <c r="CZ21" s="75">
        <f t="shared" si="19"/>
        <v>0</v>
      </c>
      <c r="DA21" s="75"/>
      <c r="DB21" s="75">
        <f t="shared" si="20"/>
        <v>0</v>
      </c>
      <c r="DC21" s="75">
        <f t="shared" si="21"/>
        <v>0</v>
      </c>
      <c r="DD21" s="75">
        <f t="shared" si="22"/>
        <v>0</v>
      </c>
      <c r="DE21" s="75">
        <f t="shared" si="23"/>
        <v>50000000</v>
      </c>
      <c r="DF21" s="75"/>
      <c r="DG21" s="75">
        <f t="shared" si="24"/>
        <v>0</v>
      </c>
      <c r="DH21" s="75">
        <f t="shared" si="25"/>
        <v>0</v>
      </c>
      <c r="DI21" s="75"/>
      <c r="DJ21" s="75">
        <f t="shared" si="26"/>
        <v>0</v>
      </c>
      <c r="DK21" s="75">
        <f t="shared" si="27"/>
        <v>0</v>
      </c>
      <c r="DL21" s="75">
        <f t="shared" si="28"/>
        <v>0</v>
      </c>
      <c r="DM21" s="75">
        <f t="shared" si="29"/>
        <v>0</v>
      </c>
      <c r="DN21" s="75">
        <f t="shared" si="30"/>
        <v>0</v>
      </c>
      <c r="DO21" s="75">
        <f t="shared" si="31"/>
        <v>0</v>
      </c>
      <c r="DP21" s="75">
        <f t="shared" si="32"/>
        <v>0</v>
      </c>
      <c r="DQ21" s="75"/>
      <c r="DR21" s="75">
        <f t="shared" si="33"/>
        <v>0</v>
      </c>
    </row>
    <row r="22" spans="1:122" ht="67.5" customHeight="1" x14ac:dyDescent="0.25">
      <c r="A22" s="226"/>
      <c r="B22" s="134" t="s">
        <v>468</v>
      </c>
      <c r="C22" s="82" t="s">
        <v>467</v>
      </c>
      <c r="D22" s="81" t="s">
        <v>466</v>
      </c>
      <c r="E22" s="97">
        <v>510</v>
      </c>
      <c r="F22" s="78" t="s">
        <v>465</v>
      </c>
      <c r="G22" s="227">
        <v>259000000</v>
      </c>
      <c r="H22" s="79">
        <f t="shared" si="0"/>
        <v>38955845</v>
      </c>
      <c r="I22" s="79">
        <f t="shared" si="1"/>
        <v>65044155</v>
      </c>
      <c r="J22" s="227" t="s">
        <v>464</v>
      </c>
      <c r="K22" s="129" t="s">
        <v>463</v>
      </c>
      <c r="L22" s="129" t="s">
        <v>462</v>
      </c>
      <c r="M22" s="75">
        <f t="shared" si="2"/>
        <v>104000000</v>
      </c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>
        <v>50000000</v>
      </c>
      <c r="AD22" s="75"/>
      <c r="AE22" s="75"/>
      <c r="AF22" s="75"/>
      <c r="AG22" s="75">
        <f>9000000+5000000+15000000+5000000+5000000+15000000</f>
        <v>54000000</v>
      </c>
      <c r="AI22" s="25">
        <f t="shared" si="3"/>
        <v>0.99323179807692308</v>
      </c>
      <c r="AJ22" s="75">
        <f t="shared" si="4"/>
        <v>103296107</v>
      </c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>
        <f>+'[5]FEBRERO 2015'!$X$852</f>
        <v>50000000</v>
      </c>
      <c r="BA22" s="75"/>
      <c r="BB22" s="75"/>
      <c r="BC22" s="75"/>
      <c r="BD22" s="75">
        <f>+'[1]AGOSTO 2015'!$AD$2041</f>
        <v>53296107</v>
      </c>
      <c r="BE22" s="25"/>
      <c r="BF22" s="75">
        <f t="shared" si="6"/>
        <v>703893</v>
      </c>
      <c r="BG22" s="75">
        <f t="shared" si="7"/>
        <v>0</v>
      </c>
      <c r="BH22" s="75">
        <f t="shared" si="40"/>
        <v>0</v>
      </c>
      <c r="BI22" s="75"/>
      <c r="BJ22" s="75">
        <f t="shared" si="9"/>
        <v>0</v>
      </c>
      <c r="BK22" s="75"/>
      <c r="BL22" s="75">
        <f t="shared" si="10"/>
        <v>0</v>
      </c>
      <c r="BM22" s="75">
        <f t="shared" si="11"/>
        <v>0</v>
      </c>
      <c r="BN22" s="75"/>
      <c r="BO22" s="75"/>
      <c r="BP22" s="75"/>
      <c r="BQ22" s="75"/>
      <c r="BR22" s="75">
        <f t="shared" si="34"/>
        <v>0</v>
      </c>
      <c r="BS22" s="75">
        <f t="shared" si="35"/>
        <v>0</v>
      </c>
      <c r="BT22" s="75">
        <f t="shared" si="36"/>
        <v>0</v>
      </c>
      <c r="BU22" s="75">
        <f t="shared" si="37"/>
        <v>0</v>
      </c>
      <c r="BV22" s="75">
        <f t="shared" si="38"/>
        <v>0</v>
      </c>
      <c r="BW22" s="75">
        <f t="shared" si="39"/>
        <v>0</v>
      </c>
      <c r="BX22" s="75"/>
      <c r="BY22" s="75"/>
      <c r="BZ22" s="75">
        <f t="shared" si="13"/>
        <v>703893</v>
      </c>
      <c r="CA22" s="25">
        <f t="shared" si="14"/>
        <v>0.3745754326923077</v>
      </c>
      <c r="CB22" s="75">
        <f t="shared" si="15"/>
        <v>38955845</v>
      </c>
      <c r="CC22" s="75"/>
      <c r="CD22" s="75"/>
      <c r="CE22" s="75"/>
      <c r="CF22" s="75"/>
      <c r="CG22" s="75"/>
      <c r="CH22" s="75"/>
      <c r="CI22" s="75"/>
      <c r="CJ22" s="75"/>
      <c r="CK22" s="75"/>
      <c r="CL22" s="75"/>
      <c r="CM22" s="75"/>
      <c r="CN22" s="75"/>
      <c r="CO22" s="75"/>
      <c r="CP22" s="75"/>
      <c r="CQ22" s="75"/>
      <c r="CR22" s="75"/>
      <c r="CS22" s="75"/>
      <c r="CT22" s="75"/>
      <c r="CU22" s="75"/>
      <c r="CV22" s="75">
        <f>+'[1]AGOSTO 2015'!$H$2039</f>
        <v>38955845</v>
      </c>
      <c r="CW22" s="25">
        <f t="shared" si="16"/>
        <v>0.62542456730769236</v>
      </c>
      <c r="CX22" s="75">
        <f t="shared" si="17"/>
        <v>65044155</v>
      </c>
      <c r="CY22" s="75">
        <f t="shared" si="18"/>
        <v>0</v>
      </c>
      <c r="CZ22" s="75">
        <f t="shared" si="19"/>
        <v>0</v>
      </c>
      <c r="DA22" s="75"/>
      <c r="DB22" s="75">
        <f t="shared" si="20"/>
        <v>0</v>
      </c>
      <c r="DC22" s="75">
        <f t="shared" si="21"/>
        <v>0</v>
      </c>
      <c r="DD22" s="75">
        <f t="shared" si="22"/>
        <v>0</v>
      </c>
      <c r="DE22" s="75">
        <f t="shared" si="23"/>
        <v>0</v>
      </c>
      <c r="DF22" s="75"/>
      <c r="DG22" s="75">
        <f t="shared" si="24"/>
        <v>0</v>
      </c>
      <c r="DH22" s="75">
        <f t="shared" si="25"/>
        <v>0</v>
      </c>
      <c r="DI22" s="75"/>
      <c r="DJ22" s="75">
        <f t="shared" si="26"/>
        <v>0</v>
      </c>
      <c r="DK22" s="75">
        <f t="shared" si="27"/>
        <v>0</v>
      </c>
      <c r="DL22" s="75">
        <f t="shared" si="28"/>
        <v>0</v>
      </c>
      <c r="DM22" s="75">
        <f t="shared" si="29"/>
        <v>0</v>
      </c>
      <c r="DN22" s="75">
        <f t="shared" si="30"/>
        <v>50000000</v>
      </c>
      <c r="DO22" s="75">
        <f t="shared" si="31"/>
        <v>0</v>
      </c>
      <c r="DP22" s="75">
        <f t="shared" si="32"/>
        <v>0</v>
      </c>
      <c r="DQ22" s="75"/>
      <c r="DR22" s="75">
        <f t="shared" si="33"/>
        <v>15044155</v>
      </c>
    </row>
    <row r="23" spans="1:122" ht="47.25" customHeight="1" x14ac:dyDescent="0.25">
      <c r="A23" s="226"/>
      <c r="B23" s="134"/>
      <c r="C23" s="82" t="s">
        <v>461</v>
      </c>
      <c r="D23" s="81" t="s">
        <v>460</v>
      </c>
      <c r="E23" s="97">
        <v>510</v>
      </c>
      <c r="F23" s="78" t="s">
        <v>459</v>
      </c>
      <c r="G23" s="229"/>
      <c r="H23" s="79">
        <f t="shared" si="0"/>
        <v>168347392</v>
      </c>
      <c r="I23" s="79">
        <f t="shared" si="1"/>
        <v>3852608</v>
      </c>
      <c r="J23" s="229"/>
      <c r="K23" s="138" t="s">
        <v>458</v>
      </c>
      <c r="L23" s="138" t="s">
        <v>457</v>
      </c>
      <c r="M23" s="75">
        <f t="shared" si="2"/>
        <v>172200000</v>
      </c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>
        <v>170000000</v>
      </c>
      <c r="AD23" s="75"/>
      <c r="AE23" s="75"/>
      <c r="AF23" s="75"/>
      <c r="AG23" s="75">
        <v>2200000</v>
      </c>
      <c r="AI23" s="25">
        <f t="shared" si="3"/>
        <v>0.98722415795586527</v>
      </c>
      <c r="AJ23" s="75">
        <f t="shared" si="4"/>
        <v>170000000</v>
      </c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>
        <f>+'[5]FEBRERO 2015'!$X$864</f>
        <v>170000000</v>
      </c>
      <c r="BA23" s="75"/>
      <c r="BB23" s="75"/>
      <c r="BC23" s="75"/>
      <c r="BD23" s="75"/>
      <c r="BE23" s="25">
        <f>1-AI21</f>
        <v>1</v>
      </c>
      <c r="BF23" s="75">
        <f t="shared" si="6"/>
        <v>2200000</v>
      </c>
      <c r="BG23" s="75">
        <f t="shared" si="7"/>
        <v>0</v>
      </c>
      <c r="BH23" s="75">
        <f t="shared" si="40"/>
        <v>0</v>
      </c>
      <c r="BI23" s="75"/>
      <c r="BJ23" s="75">
        <f t="shared" si="9"/>
        <v>0</v>
      </c>
      <c r="BK23" s="75"/>
      <c r="BL23" s="75">
        <f t="shared" si="10"/>
        <v>0</v>
      </c>
      <c r="BM23" s="75">
        <f t="shared" si="11"/>
        <v>0</v>
      </c>
      <c r="BN23" s="75"/>
      <c r="BO23" s="75"/>
      <c r="BP23" s="75"/>
      <c r="BQ23" s="75"/>
      <c r="BR23" s="75">
        <f t="shared" si="34"/>
        <v>0</v>
      </c>
      <c r="BS23" s="75">
        <f t="shared" si="35"/>
        <v>0</v>
      </c>
      <c r="BT23" s="75">
        <f t="shared" si="36"/>
        <v>0</v>
      </c>
      <c r="BU23" s="75">
        <f t="shared" si="37"/>
        <v>0</v>
      </c>
      <c r="BV23" s="75">
        <f t="shared" si="38"/>
        <v>0</v>
      </c>
      <c r="BW23" s="75">
        <f t="shared" si="39"/>
        <v>0</v>
      </c>
      <c r="BX23" s="75"/>
      <c r="BY23" s="75"/>
      <c r="BZ23" s="75">
        <f t="shared" si="13"/>
        <v>2200000</v>
      </c>
      <c r="CA23" s="25">
        <f t="shared" si="14"/>
        <v>0.97762713124274103</v>
      </c>
      <c r="CB23" s="75">
        <f t="shared" si="15"/>
        <v>168347392</v>
      </c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>
        <f>+'[1]AGOSTO 2015'!$H$2072</f>
        <v>168347392</v>
      </c>
      <c r="CS23" s="75"/>
      <c r="CT23" s="75"/>
      <c r="CU23" s="75"/>
      <c r="CV23" s="75"/>
      <c r="CW23" s="25">
        <f t="shared" si="16"/>
        <v>2.2372868757258968E-2</v>
      </c>
      <c r="CX23" s="75">
        <f t="shared" si="17"/>
        <v>3852608</v>
      </c>
      <c r="CY23" s="75">
        <f t="shared" si="18"/>
        <v>0</v>
      </c>
      <c r="CZ23" s="75">
        <f t="shared" si="19"/>
        <v>0</v>
      </c>
      <c r="DA23" s="75"/>
      <c r="DB23" s="75">
        <f t="shared" si="20"/>
        <v>0</v>
      </c>
      <c r="DC23" s="75">
        <f t="shared" si="21"/>
        <v>0</v>
      </c>
      <c r="DD23" s="75">
        <f t="shared" si="22"/>
        <v>0</v>
      </c>
      <c r="DE23" s="75">
        <f t="shared" si="23"/>
        <v>0</v>
      </c>
      <c r="DF23" s="75"/>
      <c r="DG23" s="75">
        <f t="shared" si="24"/>
        <v>0</v>
      </c>
      <c r="DH23" s="75">
        <f t="shared" si="25"/>
        <v>0</v>
      </c>
      <c r="DI23" s="75"/>
      <c r="DJ23" s="75">
        <f t="shared" si="26"/>
        <v>0</v>
      </c>
      <c r="DK23" s="75">
        <f t="shared" si="27"/>
        <v>0</v>
      </c>
      <c r="DL23" s="75">
        <f t="shared" si="28"/>
        <v>0</v>
      </c>
      <c r="DM23" s="75">
        <f t="shared" si="29"/>
        <v>0</v>
      </c>
      <c r="DN23" s="75">
        <f t="shared" si="30"/>
        <v>1652608</v>
      </c>
      <c r="DO23" s="75">
        <f t="shared" si="31"/>
        <v>0</v>
      </c>
      <c r="DP23" s="75">
        <f t="shared" si="32"/>
        <v>0</v>
      </c>
      <c r="DQ23" s="75"/>
      <c r="DR23" s="75">
        <f t="shared" si="33"/>
        <v>2200000</v>
      </c>
    </row>
    <row r="24" spans="1:122" ht="53.25" customHeight="1" x14ac:dyDescent="0.25">
      <c r="A24" s="226"/>
      <c r="B24" s="137" t="s">
        <v>456</v>
      </c>
      <c r="C24" s="82" t="s">
        <v>455</v>
      </c>
      <c r="D24" s="81" t="s">
        <v>454</v>
      </c>
      <c r="E24" s="97">
        <v>510</v>
      </c>
      <c r="F24" s="78" t="s">
        <v>428</v>
      </c>
      <c r="G24" s="227">
        <v>180000000</v>
      </c>
      <c r="H24" s="79">
        <f t="shared" si="0"/>
        <v>74373761</v>
      </c>
      <c r="I24" s="79">
        <f t="shared" si="1"/>
        <v>25626239</v>
      </c>
      <c r="J24" s="227" t="s">
        <v>453</v>
      </c>
      <c r="K24" s="233">
        <v>1</v>
      </c>
      <c r="L24" s="227" t="s">
        <v>452</v>
      </c>
      <c r="M24" s="75">
        <f t="shared" si="2"/>
        <v>100000000</v>
      </c>
      <c r="N24" s="75"/>
      <c r="O24" s="75"/>
      <c r="P24" s="75"/>
      <c r="Q24" s="75"/>
      <c r="R24" s="75"/>
      <c r="S24" s="75">
        <v>100000000</v>
      </c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I24" s="25">
        <f t="shared" si="3"/>
        <v>0.79447782</v>
      </c>
      <c r="AJ24" s="75">
        <f t="shared" si="4"/>
        <v>79447782</v>
      </c>
      <c r="AK24" s="75"/>
      <c r="AL24" s="75"/>
      <c r="AM24" s="75"/>
      <c r="AN24" s="75"/>
      <c r="AO24" s="75"/>
      <c r="AP24" s="75">
        <f>+'[2]JULIO 2015'!$O$1878</f>
        <v>79447782</v>
      </c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25">
        <f t="shared" ref="BE24:BE55" si="41">1-AI24</f>
        <v>0.20552218</v>
      </c>
      <c r="BF24" s="75">
        <f t="shared" si="6"/>
        <v>20552218</v>
      </c>
      <c r="BG24" s="75">
        <f t="shared" si="7"/>
        <v>0</v>
      </c>
      <c r="BH24" s="75">
        <f t="shared" si="40"/>
        <v>0</v>
      </c>
      <c r="BI24" s="75"/>
      <c r="BJ24" s="75">
        <f t="shared" si="9"/>
        <v>0</v>
      </c>
      <c r="BK24" s="75"/>
      <c r="BL24" s="75">
        <f t="shared" si="10"/>
        <v>20552218</v>
      </c>
      <c r="BM24" s="75">
        <f t="shared" si="11"/>
        <v>0</v>
      </c>
      <c r="BN24" s="75"/>
      <c r="BO24" s="75">
        <f>+V24-AS24</f>
        <v>0</v>
      </c>
      <c r="BP24" s="75">
        <f>+W24-AT24</f>
        <v>0</v>
      </c>
      <c r="BQ24" s="75">
        <f>+X24-AU24</f>
        <v>0</v>
      </c>
      <c r="BR24" s="75">
        <f t="shared" si="34"/>
        <v>0</v>
      </c>
      <c r="BS24" s="75">
        <f t="shared" si="35"/>
        <v>0</v>
      </c>
      <c r="BT24" s="75">
        <f t="shared" si="36"/>
        <v>0</v>
      </c>
      <c r="BU24" s="75">
        <f t="shared" si="37"/>
        <v>0</v>
      </c>
      <c r="BV24" s="75">
        <f t="shared" si="38"/>
        <v>0</v>
      </c>
      <c r="BW24" s="75">
        <f t="shared" si="39"/>
        <v>0</v>
      </c>
      <c r="BX24" s="75">
        <f>+AE24-BB24</f>
        <v>0</v>
      </c>
      <c r="BY24" s="75">
        <f>+AF24-BC24</f>
        <v>0</v>
      </c>
      <c r="BZ24" s="75">
        <f t="shared" si="13"/>
        <v>0</v>
      </c>
      <c r="CA24" s="25">
        <f t="shared" si="14"/>
        <v>0.74373761000000005</v>
      </c>
      <c r="CB24" s="75">
        <f t="shared" si="15"/>
        <v>74373761</v>
      </c>
      <c r="CC24" s="75"/>
      <c r="CD24" s="75"/>
      <c r="CE24" s="75"/>
      <c r="CF24" s="75"/>
      <c r="CG24" s="75"/>
      <c r="CH24" s="75">
        <f>+'[1]AGOSTO 2015'!$H$2113+'[1]AGOSTO 2015'!$H$2115+'[1]AGOSTO 2015'!$H$2117+'[1]AGOSTO 2015'!$H$2119+'[1]AGOSTO 2015'!$H$2121</f>
        <v>74373761</v>
      </c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25">
        <f t="shared" si="16"/>
        <v>0.25626238999999995</v>
      </c>
      <c r="CX24" s="75">
        <f t="shared" si="17"/>
        <v>25626239</v>
      </c>
      <c r="CY24" s="75">
        <f t="shared" si="18"/>
        <v>0</v>
      </c>
      <c r="CZ24" s="75">
        <f t="shared" si="19"/>
        <v>0</v>
      </c>
      <c r="DA24" s="75"/>
      <c r="DB24" s="75">
        <f t="shared" si="20"/>
        <v>0</v>
      </c>
      <c r="DC24" s="75">
        <f t="shared" si="21"/>
        <v>0</v>
      </c>
      <c r="DD24" s="75">
        <f t="shared" si="22"/>
        <v>25626239</v>
      </c>
      <c r="DE24" s="75">
        <f t="shared" si="23"/>
        <v>0</v>
      </c>
      <c r="DF24" s="75"/>
      <c r="DG24" s="75">
        <f t="shared" si="24"/>
        <v>0</v>
      </c>
      <c r="DH24" s="75">
        <f t="shared" si="25"/>
        <v>0</v>
      </c>
      <c r="DI24" s="75"/>
      <c r="DJ24" s="75">
        <f t="shared" si="26"/>
        <v>0</v>
      </c>
      <c r="DK24" s="75">
        <f t="shared" si="27"/>
        <v>0</v>
      </c>
      <c r="DL24" s="75">
        <f t="shared" si="28"/>
        <v>0</v>
      </c>
      <c r="DM24" s="75">
        <f t="shared" si="29"/>
        <v>0</v>
      </c>
      <c r="DN24" s="75">
        <f t="shared" si="30"/>
        <v>0</v>
      </c>
      <c r="DO24" s="75">
        <f t="shared" si="31"/>
        <v>0</v>
      </c>
      <c r="DP24" s="75">
        <f t="shared" si="32"/>
        <v>0</v>
      </c>
      <c r="DQ24" s="75"/>
      <c r="DR24" s="75">
        <f t="shared" si="33"/>
        <v>0</v>
      </c>
    </row>
    <row r="25" spans="1:122" ht="45" customHeight="1" x14ac:dyDescent="0.25">
      <c r="A25" s="226"/>
      <c r="B25" s="136"/>
      <c r="C25" s="82" t="s">
        <v>451</v>
      </c>
      <c r="D25" s="81" t="s">
        <v>450</v>
      </c>
      <c r="E25" s="97">
        <v>510</v>
      </c>
      <c r="F25" s="78" t="s">
        <v>428</v>
      </c>
      <c r="G25" s="228"/>
      <c r="H25" s="79">
        <f t="shared" si="0"/>
        <v>9897024</v>
      </c>
      <c r="I25" s="79">
        <f t="shared" si="1"/>
        <v>20102976</v>
      </c>
      <c r="J25" s="228"/>
      <c r="K25" s="234"/>
      <c r="L25" s="228"/>
      <c r="M25" s="75">
        <f t="shared" si="2"/>
        <v>30000000</v>
      </c>
      <c r="N25" s="75"/>
      <c r="O25" s="75"/>
      <c r="P25" s="75"/>
      <c r="Q25" s="75"/>
      <c r="R25" s="75"/>
      <c r="S25" s="75">
        <v>20000000</v>
      </c>
      <c r="T25" s="75"/>
      <c r="U25" s="75"/>
      <c r="V25" s="75"/>
      <c r="W25" s="75"/>
      <c r="X25" s="75"/>
      <c r="Y25" s="75"/>
      <c r="Z25" s="75"/>
      <c r="AA25" s="75"/>
      <c r="AB25" s="75">
        <v>10000000</v>
      </c>
      <c r="AC25" s="75"/>
      <c r="AD25" s="75"/>
      <c r="AE25" s="75"/>
      <c r="AF25" s="75"/>
      <c r="AG25" s="75"/>
      <c r="AI25" s="25">
        <f t="shared" si="3"/>
        <v>0.32990079999999999</v>
      </c>
      <c r="AJ25" s="75">
        <f t="shared" si="4"/>
        <v>9897024</v>
      </c>
      <c r="AK25" s="75"/>
      <c r="AL25" s="75"/>
      <c r="AM25" s="75"/>
      <c r="AN25" s="75"/>
      <c r="AO25" s="75"/>
      <c r="AP25" s="75">
        <f>+'[2]JULIO 2015'!$O$1891</f>
        <v>7828112</v>
      </c>
      <c r="AQ25" s="75"/>
      <c r="AR25" s="75"/>
      <c r="AS25" s="75"/>
      <c r="AT25" s="75"/>
      <c r="AU25" s="75"/>
      <c r="AV25" s="75"/>
      <c r="AW25" s="75"/>
      <c r="AX25" s="75"/>
      <c r="AY25" s="75">
        <f>+'[6]JUNIO 2015'!$X$1613</f>
        <v>2068912</v>
      </c>
      <c r="AZ25" s="75"/>
      <c r="BA25" s="75"/>
      <c r="BB25" s="75"/>
      <c r="BC25" s="75"/>
      <c r="BD25" s="75"/>
      <c r="BE25" s="25">
        <f t="shared" si="41"/>
        <v>0.67009920000000001</v>
      </c>
      <c r="BF25" s="75">
        <f t="shared" si="6"/>
        <v>20102976</v>
      </c>
      <c r="BG25" s="75">
        <f t="shared" si="7"/>
        <v>0</v>
      </c>
      <c r="BH25" s="75">
        <f t="shared" si="40"/>
        <v>0</v>
      </c>
      <c r="BI25" s="75"/>
      <c r="BJ25" s="75">
        <f t="shared" si="9"/>
        <v>0</v>
      </c>
      <c r="BK25" s="75"/>
      <c r="BL25" s="75">
        <f t="shared" si="10"/>
        <v>12171888</v>
      </c>
      <c r="BM25" s="75">
        <f t="shared" si="11"/>
        <v>0</v>
      </c>
      <c r="BN25" s="75"/>
      <c r="BO25" s="75"/>
      <c r="BP25" s="75"/>
      <c r="BQ25" s="75"/>
      <c r="BR25" s="75">
        <f t="shared" si="34"/>
        <v>0</v>
      </c>
      <c r="BS25" s="75">
        <f t="shared" si="35"/>
        <v>0</v>
      </c>
      <c r="BT25" s="75">
        <f t="shared" si="36"/>
        <v>0</v>
      </c>
      <c r="BU25" s="75">
        <f t="shared" si="37"/>
        <v>7931088</v>
      </c>
      <c r="BV25" s="75">
        <f t="shared" si="38"/>
        <v>0</v>
      </c>
      <c r="BW25" s="75">
        <f t="shared" si="39"/>
        <v>0</v>
      </c>
      <c r="BX25" s="75"/>
      <c r="BY25" s="75"/>
      <c r="BZ25" s="75">
        <f t="shared" si="13"/>
        <v>0</v>
      </c>
      <c r="CA25" s="25">
        <f t="shared" si="14"/>
        <v>0.32990079999999999</v>
      </c>
      <c r="CB25" s="75">
        <f t="shared" si="15"/>
        <v>9897024</v>
      </c>
      <c r="CC25" s="75"/>
      <c r="CD25" s="75"/>
      <c r="CE25" s="75"/>
      <c r="CF25" s="75"/>
      <c r="CG25" s="75"/>
      <c r="CH25" s="75">
        <f>+'[2]JULIO 2015'!$O$1891</f>
        <v>7828112</v>
      </c>
      <c r="CI25" s="75"/>
      <c r="CJ25" s="75"/>
      <c r="CK25" s="75"/>
      <c r="CL25" s="75"/>
      <c r="CM25" s="75"/>
      <c r="CN25" s="75"/>
      <c r="CO25" s="75"/>
      <c r="CP25" s="75"/>
      <c r="CQ25" s="75">
        <f>+'[6]JUNIO 2015'!$H$1614+'[6]JUNIO 2015'!$H$1615+'[6]JUNIO 2015'!$H$1616</f>
        <v>2068912</v>
      </c>
      <c r="CR25" s="75"/>
      <c r="CS25" s="75"/>
      <c r="CT25" s="75"/>
      <c r="CU25" s="75"/>
      <c r="CV25" s="75"/>
      <c r="CW25" s="25">
        <f t="shared" si="16"/>
        <v>0.67009920000000001</v>
      </c>
      <c r="CX25" s="75">
        <f t="shared" si="17"/>
        <v>20102976</v>
      </c>
      <c r="CY25" s="75">
        <f t="shared" si="18"/>
        <v>0</v>
      </c>
      <c r="CZ25" s="75">
        <f t="shared" si="19"/>
        <v>0</v>
      </c>
      <c r="DA25" s="75"/>
      <c r="DB25" s="75">
        <f t="shared" si="20"/>
        <v>0</v>
      </c>
      <c r="DC25" s="75">
        <f t="shared" si="21"/>
        <v>0</v>
      </c>
      <c r="DD25" s="75">
        <f t="shared" si="22"/>
        <v>12171888</v>
      </c>
      <c r="DE25" s="75">
        <f t="shared" si="23"/>
        <v>0</v>
      </c>
      <c r="DF25" s="75"/>
      <c r="DG25" s="75">
        <f t="shared" si="24"/>
        <v>0</v>
      </c>
      <c r="DH25" s="75">
        <f t="shared" si="25"/>
        <v>0</v>
      </c>
      <c r="DI25" s="75"/>
      <c r="DJ25" s="75">
        <f t="shared" si="26"/>
        <v>0</v>
      </c>
      <c r="DK25" s="75">
        <f t="shared" si="27"/>
        <v>0</v>
      </c>
      <c r="DL25" s="75">
        <f t="shared" si="28"/>
        <v>0</v>
      </c>
      <c r="DM25" s="75">
        <f t="shared" si="29"/>
        <v>7931088</v>
      </c>
      <c r="DN25" s="75">
        <f t="shared" si="30"/>
        <v>0</v>
      </c>
      <c r="DO25" s="75">
        <f t="shared" si="31"/>
        <v>0</v>
      </c>
      <c r="DP25" s="75">
        <f t="shared" si="32"/>
        <v>0</v>
      </c>
      <c r="DQ25" s="75"/>
      <c r="DR25" s="75">
        <f t="shared" si="33"/>
        <v>0</v>
      </c>
    </row>
    <row r="26" spans="1:122" ht="52.5" customHeight="1" x14ac:dyDescent="0.25">
      <c r="A26" s="226"/>
      <c r="B26" s="135"/>
      <c r="C26" s="82" t="s">
        <v>449</v>
      </c>
      <c r="D26" s="81" t="s">
        <v>448</v>
      </c>
      <c r="E26" s="97">
        <v>510</v>
      </c>
      <c r="F26" s="78" t="s">
        <v>428</v>
      </c>
      <c r="G26" s="229"/>
      <c r="H26" s="79">
        <f t="shared" si="0"/>
        <v>0</v>
      </c>
      <c r="I26" s="79">
        <f t="shared" si="1"/>
        <v>60000000</v>
      </c>
      <c r="J26" s="229"/>
      <c r="K26" s="235"/>
      <c r="L26" s="229"/>
      <c r="M26" s="75">
        <f t="shared" si="2"/>
        <v>60000000</v>
      </c>
      <c r="N26" s="75"/>
      <c r="O26" s="75"/>
      <c r="P26" s="75"/>
      <c r="Q26" s="75"/>
      <c r="R26" s="75"/>
      <c r="S26" s="75">
        <v>60000000</v>
      </c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I26" s="25">
        <f t="shared" si="3"/>
        <v>0</v>
      </c>
      <c r="AJ26" s="75">
        <f t="shared" si="4"/>
        <v>0</v>
      </c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25">
        <f t="shared" si="41"/>
        <v>1</v>
      </c>
      <c r="BF26" s="75">
        <f t="shared" si="6"/>
        <v>60000000</v>
      </c>
      <c r="BG26" s="75">
        <f t="shared" si="7"/>
        <v>0</v>
      </c>
      <c r="BH26" s="75">
        <f t="shared" si="40"/>
        <v>0</v>
      </c>
      <c r="BI26" s="75"/>
      <c r="BJ26" s="75">
        <f t="shared" si="9"/>
        <v>0</v>
      </c>
      <c r="BK26" s="75"/>
      <c r="BL26" s="75">
        <f t="shared" si="10"/>
        <v>60000000</v>
      </c>
      <c r="BM26" s="75">
        <f t="shared" si="11"/>
        <v>0</v>
      </c>
      <c r="BN26" s="75"/>
      <c r="BO26" s="75"/>
      <c r="BP26" s="75"/>
      <c r="BQ26" s="75"/>
      <c r="BR26" s="75">
        <f t="shared" si="34"/>
        <v>0</v>
      </c>
      <c r="BS26" s="75">
        <f t="shared" si="35"/>
        <v>0</v>
      </c>
      <c r="BT26" s="75">
        <f t="shared" si="36"/>
        <v>0</v>
      </c>
      <c r="BU26" s="75">
        <f t="shared" si="37"/>
        <v>0</v>
      </c>
      <c r="BV26" s="75">
        <f t="shared" si="38"/>
        <v>0</v>
      </c>
      <c r="BW26" s="75">
        <f t="shared" si="39"/>
        <v>0</v>
      </c>
      <c r="BX26" s="75"/>
      <c r="BY26" s="75"/>
      <c r="BZ26" s="75">
        <f t="shared" si="13"/>
        <v>0</v>
      </c>
      <c r="CA26" s="25">
        <f t="shared" si="14"/>
        <v>0</v>
      </c>
      <c r="CB26" s="75">
        <f t="shared" si="15"/>
        <v>0</v>
      </c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25">
        <f t="shared" si="16"/>
        <v>1</v>
      </c>
      <c r="CX26" s="75">
        <f t="shared" si="17"/>
        <v>60000000</v>
      </c>
      <c r="CY26" s="75">
        <f t="shared" si="18"/>
        <v>0</v>
      </c>
      <c r="CZ26" s="75">
        <f t="shared" si="19"/>
        <v>0</v>
      </c>
      <c r="DA26" s="75"/>
      <c r="DB26" s="75">
        <f t="shared" si="20"/>
        <v>0</v>
      </c>
      <c r="DC26" s="75">
        <f t="shared" si="21"/>
        <v>0</v>
      </c>
      <c r="DD26" s="75">
        <f t="shared" si="22"/>
        <v>60000000</v>
      </c>
      <c r="DE26" s="75">
        <f t="shared" si="23"/>
        <v>0</v>
      </c>
      <c r="DF26" s="75"/>
      <c r="DG26" s="75">
        <f t="shared" si="24"/>
        <v>0</v>
      </c>
      <c r="DH26" s="75">
        <f t="shared" si="25"/>
        <v>0</v>
      </c>
      <c r="DI26" s="75"/>
      <c r="DJ26" s="75">
        <f t="shared" si="26"/>
        <v>0</v>
      </c>
      <c r="DK26" s="75">
        <f t="shared" si="27"/>
        <v>0</v>
      </c>
      <c r="DL26" s="75">
        <f t="shared" si="28"/>
        <v>0</v>
      </c>
      <c r="DM26" s="75">
        <f t="shared" si="29"/>
        <v>0</v>
      </c>
      <c r="DN26" s="75">
        <f t="shared" si="30"/>
        <v>0</v>
      </c>
      <c r="DO26" s="75">
        <f t="shared" si="31"/>
        <v>0</v>
      </c>
      <c r="DP26" s="75">
        <f t="shared" si="32"/>
        <v>0</v>
      </c>
      <c r="DQ26" s="75"/>
      <c r="DR26" s="75">
        <f t="shared" si="33"/>
        <v>0</v>
      </c>
    </row>
    <row r="27" spans="1:122" ht="51" customHeight="1" x14ac:dyDescent="0.25">
      <c r="A27" s="226"/>
      <c r="B27" s="134" t="s">
        <v>447</v>
      </c>
      <c r="C27" s="82" t="s">
        <v>446</v>
      </c>
      <c r="D27" s="81" t="s">
        <v>445</v>
      </c>
      <c r="E27" s="97">
        <v>510</v>
      </c>
      <c r="F27" s="78" t="s">
        <v>428</v>
      </c>
      <c r="G27" s="227">
        <v>80000000</v>
      </c>
      <c r="H27" s="79">
        <f t="shared" si="0"/>
        <v>0</v>
      </c>
      <c r="I27" s="79">
        <f t="shared" si="1"/>
        <v>40000000</v>
      </c>
      <c r="J27" s="227" t="s">
        <v>444</v>
      </c>
      <c r="K27" s="227" t="s">
        <v>443</v>
      </c>
      <c r="L27" s="227" t="s">
        <v>442</v>
      </c>
      <c r="M27" s="75">
        <f t="shared" si="2"/>
        <v>40000000</v>
      </c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>
        <v>40000000</v>
      </c>
      <c r="AB27" s="75"/>
      <c r="AC27" s="75"/>
      <c r="AD27" s="75"/>
      <c r="AE27" s="75"/>
      <c r="AF27" s="75"/>
      <c r="AG27" s="75"/>
      <c r="AI27" s="25">
        <f t="shared" si="3"/>
        <v>0</v>
      </c>
      <c r="AJ27" s="75">
        <f t="shared" si="4"/>
        <v>0</v>
      </c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25">
        <f t="shared" si="41"/>
        <v>1</v>
      </c>
      <c r="BF27" s="75">
        <f t="shared" si="6"/>
        <v>40000000</v>
      </c>
      <c r="BG27" s="75">
        <f t="shared" si="7"/>
        <v>0</v>
      </c>
      <c r="BH27" s="75">
        <f t="shared" si="40"/>
        <v>0</v>
      </c>
      <c r="BI27" s="75"/>
      <c r="BJ27" s="75">
        <f t="shared" si="9"/>
        <v>0</v>
      </c>
      <c r="BK27" s="75"/>
      <c r="BL27" s="75">
        <f t="shared" si="10"/>
        <v>0</v>
      </c>
      <c r="BM27" s="75">
        <f t="shared" si="11"/>
        <v>0</v>
      </c>
      <c r="BN27" s="75"/>
      <c r="BO27" s="75"/>
      <c r="BP27" s="75"/>
      <c r="BQ27" s="75"/>
      <c r="BR27" s="75">
        <f t="shared" si="34"/>
        <v>0</v>
      </c>
      <c r="BS27" s="75">
        <f t="shared" si="35"/>
        <v>0</v>
      </c>
      <c r="BT27" s="75">
        <f t="shared" si="36"/>
        <v>40000000</v>
      </c>
      <c r="BU27" s="75">
        <f t="shared" si="37"/>
        <v>0</v>
      </c>
      <c r="BV27" s="75">
        <f t="shared" si="38"/>
        <v>0</v>
      </c>
      <c r="BW27" s="75">
        <f t="shared" si="39"/>
        <v>0</v>
      </c>
      <c r="BX27" s="75"/>
      <c r="BY27" s="75"/>
      <c r="BZ27" s="75">
        <f t="shared" si="13"/>
        <v>0</v>
      </c>
      <c r="CA27" s="25">
        <f t="shared" si="14"/>
        <v>0</v>
      </c>
      <c r="CB27" s="75">
        <f t="shared" si="15"/>
        <v>0</v>
      </c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  <c r="CR27" s="75"/>
      <c r="CS27" s="75"/>
      <c r="CT27" s="75"/>
      <c r="CU27" s="75"/>
      <c r="CV27" s="75"/>
      <c r="CW27" s="25">
        <f t="shared" si="16"/>
        <v>1</v>
      </c>
      <c r="CX27" s="75">
        <f t="shared" si="17"/>
        <v>40000000</v>
      </c>
      <c r="CY27" s="75">
        <f t="shared" si="18"/>
        <v>0</v>
      </c>
      <c r="CZ27" s="75">
        <f t="shared" si="19"/>
        <v>0</v>
      </c>
      <c r="DA27" s="75"/>
      <c r="DB27" s="75">
        <f t="shared" si="20"/>
        <v>0</v>
      </c>
      <c r="DC27" s="75">
        <f t="shared" si="21"/>
        <v>0</v>
      </c>
      <c r="DD27" s="75">
        <f t="shared" si="22"/>
        <v>0</v>
      </c>
      <c r="DE27" s="75">
        <f t="shared" si="23"/>
        <v>0</v>
      </c>
      <c r="DF27" s="75"/>
      <c r="DG27" s="75">
        <f t="shared" si="24"/>
        <v>0</v>
      </c>
      <c r="DH27" s="75">
        <f t="shared" si="25"/>
        <v>0</v>
      </c>
      <c r="DI27" s="75"/>
      <c r="DJ27" s="75">
        <f t="shared" si="26"/>
        <v>0</v>
      </c>
      <c r="DK27" s="75">
        <f t="shared" si="27"/>
        <v>0</v>
      </c>
      <c r="DL27" s="75">
        <f t="shared" si="28"/>
        <v>40000000</v>
      </c>
      <c r="DM27" s="75">
        <f t="shared" si="29"/>
        <v>0</v>
      </c>
      <c r="DN27" s="75">
        <f t="shared" si="30"/>
        <v>0</v>
      </c>
      <c r="DO27" s="75">
        <f t="shared" si="31"/>
        <v>0</v>
      </c>
      <c r="DP27" s="75">
        <f t="shared" si="32"/>
        <v>0</v>
      </c>
      <c r="DQ27" s="75"/>
      <c r="DR27" s="75">
        <f t="shared" si="33"/>
        <v>0</v>
      </c>
    </row>
    <row r="28" spans="1:122" ht="41.25" customHeight="1" x14ac:dyDescent="0.25">
      <c r="A28" s="226"/>
      <c r="B28" s="134"/>
      <c r="C28" s="82" t="s">
        <v>441</v>
      </c>
      <c r="D28" s="81" t="s">
        <v>440</v>
      </c>
      <c r="E28" s="97">
        <v>510</v>
      </c>
      <c r="F28" s="78" t="s">
        <v>428</v>
      </c>
      <c r="G28" s="228"/>
      <c r="H28" s="79">
        <f t="shared" si="0"/>
        <v>0</v>
      </c>
      <c r="I28" s="79">
        <f t="shared" si="1"/>
        <v>5000000</v>
      </c>
      <c r="J28" s="228"/>
      <c r="K28" s="228"/>
      <c r="L28" s="228"/>
      <c r="M28" s="75">
        <f t="shared" si="2"/>
        <v>5000000</v>
      </c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>
        <v>5000000</v>
      </c>
      <c r="AB28" s="75"/>
      <c r="AC28" s="75"/>
      <c r="AD28" s="75"/>
      <c r="AE28" s="75"/>
      <c r="AF28" s="75"/>
      <c r="AG28" s="75"/>
      <c r="AI28" s="25">
        <f t="shared" si="3"/>
        <v>0</v>
      </c>
      <c r="AJ28" s="75">
        <f t="shared" si="4"/>
        <v>0</v>
      </c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25">
        <f t="shared" si="41"/>
        <v>1</v>
      </c>
      <c r="BF28" s="75">
        <f t="shared" si="6"/>
        <v>5000000</v>
      </c>
      <c r="BG28" s="75">
        <f t="shared" si="7"/>
        <v>0</v>
      </c>
      <c r="BH28" s="75">
        <f t="shared" si="40"/>
        <v>0</v>
      </c>
      <c r="BI28" s="75"/>
      <c r="BJ28" s="75">
        <f t="shared" si="9"/>
        <v>0</v>
      </c>
      <c r="BK28" s="75"/>
      <c r="BL28" s="75">
        <f t="shared" si="10"/>
        <v>0</v>
      </c>
      <c r="BM28" s="75">
        <f t="shared" si="11"/>
        <v>0</v>
      </c>
      <c r="BN28" s="75"/>
      <c r="BO28" s="75"/>
      <c r="BP28" s="75"/>
      <c r="BQ28" s="75"/>
      <c r="BR28" s="75">
        <f t="shared" si="34"/>
        <v>0</v>
      </c>
      <c r="BS28" s="75">
        <f t="shared" si="35"/>
        <v>0</v>
      </c>
      <c r="BT28" s="75">
        <f t="shared" si="36"/>
        <v>5000000</v>
      </c>
      <c r="BU28" s="75">
        <f t="shared" si="37"/>
        <v>0</v>
      </c>
      <c r="BV28" s="75">
        <f t="shared" si="38"/>
        <v>0</v>
      </c>
      <c r="BW28" s="75">
        <f t="shared" si="39"/>
        <v>0</v>
      </c>
      <c r="BX28" s="75"/>
      <c r="BY28" s="75"/>
      <c r="BZ28" s="75">
        <f t="shared" si="13"/>
        <v>0</v>
      </c>
      <c r="CA28" s="25">
        <f t="shared" si="14"/>
        <v>0</v>
      </c>
      <c r="CB28" s="75">
        <f t="shared" si="15"/>
        <v>0</v>
      </c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25">
        <f t="shared" si="16"/>
        <v>1</v>
      </c>
      <c r="CX28" s="75">
        <f t="shared" si="17"/>
        <v>5000000</v>
      </c>
      <c r="CY28" s="75">
        <f t="shared" si="18"/>
        <v>0</v>
      </c>
      <c r="CZ28" s="75">
        <f t="shared" si="19"/>
        <v>0</v>
      </c>
      <c r="DA28" s="75"/>
      <c r="DB28" s="75">
        <f t="shared" si="20"/>
        <v>0</v>
      </c>
      <c r="DC28" s="75">
        <f t="shared" si="21"/>
        <v>0</v>
      </c>
      <c r="DD28" s="75">
        <f t="shared" si="22"/>
        <v>0</v>
      </c>
      <c r="DE28" s="75">
        <f t="shared" si="23"/>
        <v>0</v>
      </c>
      <c r="DF28" s="75"/>
      <c r="DG28" s="75">
        <f t="shared" si="24"/>
        <v>0</v>
      </c>
      <c r="DH28" s="75">
        <f t="shared" si="25"/>
        <v>0</v>
      </c>
      <c r="DI28" s="75"/>
      <c r="DJ28" s="75">
        <f t="shared" si="26"/>
        <v>0</v>
      </c>
      <c r="DK28" s="75">
        <f t="shared" si="27"/>
        <v>0</v>
      </c>
      <c r="DL28" s="75">
        <f t="shared" si="28"/>
        <v>5000000</v>
      </c>
      <c r="DM28" s="75">
        <f t="shared" si="29"/>
        <v>0</v>
      </c>
      <c r="DN28" s="75">
        <f t="shared" si="30"/>
        <v>0</v>
      </c>
      <c r="DO28" s="75">
        <f t="shared" si="31"/>
        <v>0</v>
      </c>
      <c r="DP28" s="75">
        <f t="shared" si="32"/>
        <v>0</v>
      </c>
      <c r="DQ28" s="75"/>
      <c r="DR28" s="75">
        <f t="shared" si="33"/>
        <v>0</v>
      </c>
    </row>
    <row r="29" spans="1:122" ht="42" customHeight="1" x14ac:dyDescent="0.25">
      <c r="A29" s="226"/>
      <c r="B29" s="134"/>
      <c r="C29" s="82" t="s">
        <v>439</v>
      </c>
      <c r="D29" s="81" t="s">
        <v>438</v>
      </c>
      <c r="E29" s="97">
        <v>510</v>
      </c>
      <c r="F29" s="78" t="s">
        <v>428</v>
      </c>
      <c r="G29" s="229"/>
      <c r="H29" s="79">
        <f t="shared" si="0"/>
        <v>0</v>
      </c>
      <c r="I29" s="79">
        <f t="shared" si="1"/>
        <v>65000000</v>
      </c>
      <c r="J29" s="229"/>
      <c r="K29" s="229"/>
      <c r="L29" s="229"/>
      <c r="M29" s="75">
        <f t="shared" si="2"/>
        <v>65000000</v>
      </c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>
        <v>35000000</v>
      </c>
      <c r="AB29" s="75">
        <v>30000000</v>
      </c>
      <c r="AC29" s="75"/>
      <c r="AD29" s="75"/>
      <c r="AE29" s="75"/>
      <c r="AF29" s="75"/>
      <c r="AG29" s="75"/>
      <c r="AI29" s="25">
        <f t="shared" si="3"/>
        <v>0</v>
      </c>
      <c r="AJ29" s="75">
        <f t="shared" si="4"/>
        <v>0</v>
      </c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25">
        <f t="shared" si="41"/>
        <v>1</v>
      </c>
      <c r="BF29" s="75">
        <f t="shared" si="6"/>
        <v>65000000</v>
      </c>
      <c r="BG29" s="75">
        <f t="shared" si="7"/>
        <v>0</v>
      </c>
      <c r="BH29" s="75">
        <f t="shared" si="40"/>
        <v>0</v>
      </c>
      <c r="BI29" s="75"/>
      <c r="BJ29" s="75">
        <f t="shared" si="9"/>
        <v>0</v>
      </c>
      <c r="BK29" s="75"/>
      <c r="BL29" s="75">
        <f t="shared" si="10"/>
        <v>0</v>
      </c>
      <c r="BM29" s="75">
        <f t="shared" si="11"/>
        <v>0</v>
      </c>
      <c r="BN29" s="75"/>
      <c r="BO29" s="75"/>
      <c r="BP29" s="75"/>
      <c r="BQ29" s="75"/>
      <c r="BR29" s="75">
        <f t="shared" si="34"/>
        <v>0</v>
      </c>
      <c r="BS29" s="75">
        <f t="shared" si="35"/>
        <v>0</v>
      </c>
      <c r="BT29" s="75">
        <f t="shared" si="36"/>
        <v>35000000</v>
      </c>
      <c r="BU29" s="75">
        <f t="shared" si="37"/>
        <v>30000000</v>
      </c>
      <c r="BV29" s="75">
        <f t="shared" si="38"/>
        <v>0</v>
      </c>
      <c r="BW29" s="75">
        <f t="shared" si="39"/>
        <v>0</v>
      </c>
      <c r="BX29" s="75"/>
      <c r="BY29" s="75"/>
      <c r="BZ29" s="75">
        <f t="shared" si="13"/>
        <v>0</v>
      </c>
      <c r="CA29" s="25">
        <f t="shared" si="14"/>
        <v>0</v>
      </c>
      <c r="CB29" s="75">
        <f t="shared" si="15"/>
        <v>0</v>
      </c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25">
        <f t="shared" si="16"/>
        <v>1</v>
      </c>
      <c r="CX29" s="75">
        <f t="shared" si="17"/>
        <v>65000000</v>
      </c>
      <c r="CY29" s="75">
        <f t="shared" si="18"/>
        <v>0</v>
      </c>
      <c r="CZ29" s="75">
        <f t="shared" si="19"/>
        <v>0</v>
      </c>
      <c r="DA29" s="75"/>
      <c r="DB29" s="75">
        <f t="shared" si="20"/>
        <v>0</v>
      </c>
      <c r="DC29" s="75">
        <f t="shared" si="21"/>
        <v>0</v>
      </c>
      <c r="DD29" s="75">
        <f t="shared" si="22"/>
        <v>0</v>
      </c>
      <c r="DE29" s="75">
        <f t="shared" si="23"/>
        <v>0</v>
      </c>
      <c r="DF29" s="75"/>
      <c r="DG29" s="75">
        <f t="shared" si="24"/>
        <v>0</v>
      </c>
      <c r="DH29" s="75">
        <f t="shared" si="25"/>
        <v>0</v>
      </c>
      <c r="DI29" s="75"/>
      <c r="DJ29" s="75">
        <f t="shared" si="26"/>
        <v>0</v>
      </c>
      <c r="DK29" s="75">
        <f t="shared" si="27"/>
        <v>0</v>
      </c>
      <c r="DL29" s="75">
        <f t="shared" si="28"/>
        <v>35000000</v>
      </c>
      <c r="DM29" s="75">
        <f t="shared" si="29"/>
        <v>30000000</v>
      </c>
      <c r="DN29" s="75">
        <f t="shared" si="30"/>
        <v>0</v>
      </c>
      <c r="DO29" s="75">
        <f t="shared" si="31"/>
        <v>0</v>
      </c>
      <c r="DP29" s="75">
        <f t="shared" si="32"/>
        <v>0</v>
      </c>
      <c r="DQ29" s="75"/>
      <c r="DR29" s="75">
        <f t="shared" si="33"/>
        <v>0</v>
      </c>
    </row>
    <row r="30" spans="1:122" ht="27.75" customHeight="1" x14ac:dyDescent="0.25">
      <c r="A30" s="226"/>
      <c r="B30" s="236" t="s">
        <v>437</v>
      </c>
      <c r="C30" s="82" t="s">
        <v>436</v>
      </c>
      <c r="D30" s="81" t="s">
        <v>435</v>
      </c>
      <c r="E30" s="97">
        <v>510</v>
      </c>
      <c r="F30" s="78" t="s">
        <v>428</v>
      </c>
      <c r="G30" s="227">
        <v>111000000</v>
      </c>
      <c r="H30" s="79">
        <f t="shared" si="0"/>
        <v>876100</v>
      </c>
      <c r="I30" s="79">
        <f t="shared" si="1"/>
        <v>1123900</v>
      </c>
      <c r="J30" s="227" t="s">
        <v>398</v>
      </c>
      <c r="K30" s="227" t="s">
        <v>434</v>
      </c>
      <c r="L30" s="227" t="s">
        <v>433</v>
      </c>
      <c r="M30" s="75">
        <f t="shared" si="2"/>
        <v>2000000</v>
      </c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>
        <v>2000000</v>
      </c>
      <c r="AB30" s="75"/>
      <c r="AC30" s="75"/>
      <c r="AD30" s="75"/>
      <c r="AE30" s="75"/>
      <c r="AF30" s="75"/>
      <c r="AG30" s="75"/>
      <c r="AI30" s="25">
        <f t="shared" si="3"/>
        <v>0.43804999999999999</v>
      </c>
      <c r="AJ30" s="75">
        <f t="shared" si="4"/>
        <v>876100</v>
      </c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>
        <f>+'[4]MARZO 2015'!$V$1091</f>
        <v>876100</v>
      </c>
      <c r="AY30" s="75"/>
      <c r="AZ30" s="75"/>
      <c r="BA30" s="75"/>
      <c r="BB30" s="75"/>
      <c r="BC30" s="75"/>
      <c r="BD30" s="75"/>
      <c r="BE30" s="25">
        <f t="shared" si="41"/>
        <v>0.56194999999999995</v>
      </c>
      <c r="BF30" s="75">
        <f t="shared" si="6"/>
        <v>1123900</v>
      </c>
      <c r="BG30" s="75">
        <f t="shared" si="7"/>
        <v>0</v>
      </c>
      <c r="BH30" s="75">
        <f t="shared" si="40"/>
        <v>0</v>
      </c>
      <c r="BI30" s="75"/>
      <c r="BJ30" s="75">
        <f t="shared" si="9"/>
        <v>0</v>
      </c>
      <c r="BK30" s="75"/>
      <c r="BL30" s="75">
        <f t="shared" si="10"/>
        <v>0</v>
      </c>
      <c r="BM30" s="75">
        <f t="shared" si="11"/>
        <v>0</v>
      </c>
      <c r="BN30" s="75"/>
      <c r="BO30" s="75"/>
      <c r="BP30" s="75"/>
      <c r="BQ30" s="75"/>
      <c r="BR30" s="75">
        <f t="shared" si="34"/>
        <v>0</v>
      </c>
      <c r="BS30" s="75">
        <f t="shared" si="35"/>
        <v>0</v>
      </c>
      <c r="BT30" s="75">
        <f t="shared" si="36"/>
        <v>1123900</v>
      </c>
      <c r="BU30" s="75">
        <f t="shared" si="37"/>
        <v>0</v>
      </c>
      <c r="BV30" s="75">
        <f t="shared" si="38"/>
        <v>0</v>
      </c>
      <c r="BW30" s="75">
        <f t="shared" si="39"/>
        <v>0</v>
      </c>
      <c r="BX30" s="75"/>
      <c r="BY30" s="75"/>
      <c r="BZ30" s="75">
        <f t="shared" si="13"/>
        <v>0</v>
      </c>
      <c r="CA30" s="25">
        <f t="shared" si="14"/>
        <v>0.43804999999999999</v>
      </c>
      <c r="CB30" s="75">
        <f t="shared" si="15"/>
        <v>876100</v>
      </c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>
        <f>+'[4]MARZO 2015'!$H$1089</f>
        <v>876100</v>
      </c>
      <c r="CQ30" s="75"/>
      <c r="CR30" s="75"/>
      <c r="CS30" s="75"/>
      <c r="CT30" s="75"/>
      <c r="CU30" s="75"/>
      <c r="CV30" s="75"/>
      <c r="CW30" s="25">
        <f t="shared" si="16"/>
        <v>0.56194999999999995</v>
      </c>
      <c r="CX30" s="75">
        <f t="shared" si="17"/>
        <v>1123900</v>
      </c>
      <c r="CY30" s="75">
        <f t="shared" si="18"/>
        <v>0</v>
      </c>
      <c r="CZ30" s="75">
        <f t="shared" si="19"/>
        <v>0</v>
      </c>
      <c r="DA30" s="75"/>
      <c r="DB30" s="75">
        <f t="shared" si="20"/>
        <v>0</v>
      </c>
      <c r="DC30" s="75">
        <f t="shared" si="21"/>
        <v>0</v>
      </c>
      <c r="DD30" s="75">
        <f t="shared" si="22"/>
        <v>0</v>
      </c>
      <c r="DE30" s="75">
        <f t="shared" si="23"/>
        <v>0</v>
      </c>
      <c r="DF30" s="75"/>
      <c r="DG30" s="75">
        <f t="shared" si="24"/>
        <v>0</v>
      </c>
      <c r="DH30" s="75">
        <f t="shared" si="25"/>
        <v>0</v>
      </c>
      <c r="DI30" s="75"/>
      <c r="DJ30" s="75">
        <f t="shared" si="26"/>
        <v>0</v>
      </c>
      <c r="DK30" s="75">
        <f t="shared" si="27"/>
        <v>0</v>
      </c>
      <c r="DL30" s="75">
        <f t="shared" si="28"/>
        <v>1123900</v>
      </c>
      <c r="DM30" s="75">
        <f t="shared" si="29"/>
        <v>0</v>
      </c>
      <c r="DN30" s="75">
        <f t="shared" si="30"/>
        <v>0</v>
      </c>
      <c r="DO30" s="75">
        <f t="shared" si="31"/>
        <v>0</v>
      </c>
      <c r="DP30" s="75">
        <f t="shared" si="32"/>
        <v>0</v>
      </c>
      <c r="DQ30" s="75"/>
      <c r="DR30" s="75">
        <f t="shared" si="33"/>
        <v>0</v>
      </c>
    </row>
    <row r="31" spans="1:122" ht="21" customHeight="1" x14ac:dyDescent="0.25">
      <c r="A31" s="226"/>
      <c r="B31" s="237"/>
      <c r="C31" s="82" t="s">
        <v>432</v>
      </c>
      <c r="D31" s="81" t="s">
        <v>431</v>
      </c>
      <c r="E31" s="97">
        <v>510</v>
      </c>
      <c r="F31" s="78" t="s">
        <v>428</v>
      </c>
      <c r="G31" s="228"/>
      <c r="H31" s="79">
        <f t="shared" si="0"/>
        <v>18163197</v>
      </c>
      <c r="I31" s="79">
        <f t="shared" si="1"/>
        <v>42836803</v>
      </c>
      <c r="J31" s="228"/>
      <c r="K31" s="228"/>
      <c r="L31" s="228"/>
      <c r="M31" s="75">
        <f t="shared" si="2"/>
        <v>61000000</v>
      </c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>
        <v>40000000</v>
      </c>
      <c r="AB31" s="75"/>
      <c r="AC31" s="75"/>
      <c r="AD31" s="75"/>
      <c r="AE31" s="75"/>
      <c r="AF31" s="75"/>
      <c r="AG31" s="75">
        <v>21000000</v>
      </c>
      <c r="AI31" s="25">
        <f t="shared" si="3"/>
        <v>0.57155514754098358</v>
      </c>
      <c r="AJ31" s="75">
        <f t="shared" si="4"/>
        <v>34864864</v>
      </c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>
        <f>+'[1]AGOSTO 2015'!$W$2170</f>
        <v>34864864</v>
      </c>
      <c r="AY31" s="75"/>
      <c r="AZ31" s="75"/>
      <c r="BA31" s="75"/>
      <c r="BB31" s="75"/>
      <c r="BC31" s="75"/>
      <c r="BD31" s="75"/>
      <c r="BE31" s="25">
        <f t="shared" si="41"/>
        <v>0.42844485245901642</v>
      </c>
      <c r="BF31" s="75">
        <f t="shared" si="6"/>
        <v>26135136</v>
      </c>
      <c r="BG31" s="75">
        <f t="shared" si="7"/>
        <v>0</v>
      </c>
      <c r="BH31" s="75">
        <f t="shared" si="40"/>
        <v>0</v>
      </c>
      <c r="BI31" s="75"/>
      <c r="BJ31" s="75">
        <f t="shared" si="9"/>
        <v>0</v>
      </c>
      <c r="BK31" s="75"/>
      <c r="BL31" s="75">
        <f t="shared" si="10"/>
        <v>0</v>
      </c>
      <c r="BM31" s="75">
        <f t="shared" si="11"/>
        <v>0</v>
      </c>
      <c r="BN31" s="75"/>
      <c r="BO31" s="75"/>
      <c r="BP31" s="75"/>
      <c r="BQ31" s="75"/>
      <c r="BR31" s="75">
        <f t="shared" si="34"/>
        <v>0</v>
      </c>
      <c r="BS31" s="75">
        <f t="shared" si="35"/>
        <v>0</v>
      </c>
      <c r="BT31" s="75">
        <f t="shared" si="36"/>
        <v>5135136</v>
      </c>
      <c r="BU31" s="75">
        <f t="shared" si="37"/>
        <v>0</v>
      </c>
      <c r="BV31" s="75">
        <f t="shared" si="38"/>
        <v>0</v>
      </c>
      <c r="BW31" s="75">
        <f t="shared" si="39"/>
        <v>0</v>
      </c>
      <c r="BX31" s="75"/>
      <c r="BY31" s="75"/>
      <c r="BZ31" s="75">
        <f t="shared" si="13"/>
        <v>21000000</v>
      </c>
      <c r="CA31" s="25">
        <f t="shared" si="14"/>
        <v>0.29775732786885245</v>
      </c>
      <c r="CB31" s="75">
        <f t="shared" si="15"/>
        <v>18163197</v>
      </c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>
        <f>+'[1]AGOSTO 2015'!$H$2168</f>
        <v>18163197</v>
      </c>
      <c r="CQ31" s="75"/>
      <c r="CR31" s="75"/>
      <c r="CS31" s="75"/>
      <c r="CT31" s="75"/>
      <c r="CU31" s="75"/>
      <c r="CV31" s="75"/>
      <c r="CW31" s="25">
        <f t="shared" si="16"/>
        <v>0.70224267213114755</v>
      </c>
      <c r="CX31" s="75">
        <f t="shared" si="17"/>
        <v>42836803</v>
      </c>
      <c r="CY31" s="75">
        <f t="shared" si="18"/>
        <v>0</v>
      </c>
      <c r="CZ31" s="75">
        <f t="shared" si="19"/>
        <v>0</v>
      </c>
      <c r="DA31" s="75"/>
      <c r="DB31" s="75">
        <f t="shared" si="20"/>
        <v>0</v>
      </c>
      <c r="DC31" s="75">
        <f t="shared" si="21"/>
        <v>0</v>
      </c>
      <c r="DD31" s="75">
        <f t="shared" si="22"/>
        <v>0</v>
      </c>
      <c r="DE31" s="75">
        <f t="shared" si="23"/>
        <v>0</v>
      </c>
      <c r="DF31" s="75"/>
      <c r="DG31" s="75">
        <f t="shared" si="24"/>
        <v>0</v>
      </c>
      <c r="DH31" s="75">
        <f t="shared" si="25"/>
        <v>0</v>
      </c>
      <c r="DI31" s="75"/>
      <c r="DJ31" s="75">
        <f t="shared" si="26"/>
        <v>0</v>
      </c>
      <c r="DK31" s="75">
        <f t="shared" si="27"/>
        <v>0</v>
      </c>
      <c r="DL31" s="75">
        <f t="shared" si="28"/>
        <v>21836803</v>
      </c>
      <c r="DM31" s="75">
        <f t="shared" si="29"/>
        <v>0</v>
      </c>
      <c r="DN31" s="75">
        <f t="shared" si="30"/>
        <v>0</v>
      </c>
      <c r="DO31" s="75">
        <f t="shared" si="31"/>
        <v>0</v>
      </c>
      <c r="DP31" s="75">
        <f t="shared" si="32"/>
        <v>0</v>
      </c>
      <c r="DQ31" s="75"/>
      <c r="DR31" s="75">
        <f t="shared" si="33"/>
        <v>21000000</v>
      </c>
    </row>
    <row r="32" spans="1:122" ht="29.25" customHeight="1" x14ac:dyDescent="0.25">
      <c r="A32" s="226"/>
      <c r="B32" s="237"/>
      <c r="C32" s="82" t="s">
        <v>430</v>
      </c>
      <c r="D32" s="81" t="s">
        <v>429</v>
      </c>
      <c r="E32" s="97">
        <v>510</v>
      </c>
      <c r="F32" s="78" t="s">
        <v>428</v>
      </c>
      <c r="G32" s="228"/>
      <c r="H32" s="79">
        <f t="shared" si="0"/>
        <v>10640000</v>
      </c>
      <c r="I32" s="79">
        <f t="shared" si="1"/>
        <v>39360000</v>
      </c>
      <c r="J32" s="228"/>
      <c r="K32" s="228"/>
      <c r="L32" s="228"/>
      <c r="M32" s="75">
        <f t="shared" si="2"/>
        <v>50000000</v>
      </c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>
        <v>40000000</v>
      </c>
      <c r="AB32" s="75">
        <v>10000000</v>
      </c>
      <c r="AC32" s="75"/>
      <c r="AD32" s="75"/>
      <c r="AE32" s="75"/>
      <c r="AF32" s="75"/>
      <c r="AG32" s="75"/>
      <c r="AI32" s="25">
        <f t="shared" si="3"/>
        <v>0.95281987999999995</v>
      </c>
      <c r="AJ32" s="75">
        <f t="shared" si="4"/>
        <v>47640994</v>
      </c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>
        <f>+'[6]JUNIO 2015'!$W$1673</f>
        <v>40000000</v>
      </c>
      <c r="AY32" s="75">
        <f>+'[6]JUNIO 2015'!$X$1673</f>
        <v>7640994</v>
      </c>
      <c r="AZ32" s="75"/>
      <c r="BA32" s="75"/>
      <c r="BB32" s="75"/>
      <c r="BC32" s="75"/>
      <c r="BD32" s="75"/>
      <c r="BE32" s="25">
        <f t="shared" si="41"/>
        <v>4.7180120000000048E-2</v>
      </c>
      <c r="BF32" s="75">
        <f t="shared" si="6"/>
        <v>2359006</v>
      </c>
      <c r="BG32" s="75">
        <f t="shared" si="7"/>
        <v>0</v>
      </c>
      <c r="BH32" s="75">
        <f t="shared" si="40"/>
        <v>0</v>
      </c>
      <c r="BI32" s="75"/>
      <c r="BJ32" s="75">
        <f t="shared" si="9"/>
        <v>0</v>
      </c>
      <c r="BK32" s="75"/>
      <c r="BL32" s="75">
        <f t="shared" si="10"/>
        <v>0</v>
      </c>
      <c r="BM32" s="75">
        <f t="shared" si="11"/>
        <v>0</v>
      </c>
      <c r="BN32" s="75"/>
      <c r="BO32" s="75"/>
      <c r="BP32" s="75"/>
      <c r="BQ32" s="75"/>
      <c r="BR32" s="75">
        <f t="shared" si="34"/>
        <v>0</v>
      </c>
      <c r="BS32" s="75">
        <f t="shared" si="35"/>
        <v>0</v>
      </c>
      <c r="BT32" s="75">
        <f t="shared" si="36"/>
        <v>0</v>
      </c>
      <c r="BU32" s="75">
        <f t="shared" si="37"/>
        <v>2359006</v>
      </c>
      <c r="BV32" s="75">
        <f t="shared" si="38"/>
        <v>0</v>
      </c>
      <c r="BW32" s="75">
        <f t="shared" si="39"/>
        <v>0</v>
      </c>
      <c r="BX32" s="75"/>
      <c r="BY32" s="75"/>
      <c r="BZ32" s="75">
        <f t="shared" si="13"/>
        <v>0</v>
      </c>
      <c r="CA32" s="25">
        <f t="shared" si="14"/>
        <v>0.21279999999999999</v>
      </c>
      <c r="CB32" s="75">
        <f t="shared" si="15"/>
        <v>10640000</v>
      </c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>
        <f>+'[2]JULIO 2015'!$W$1957</f>
        <v>3000000</v>
      </c>
      <c r="CQ32" s="75">
        <f>+'[2]JULIO 2015'!$H$1958-CP32</f>
        <v>7640000</v>
      </c>
      <c r="CR32" s="75"/>
      <c r="CS32" s="75"/>
      <c r="CT32" s="75"/>
      <c r="CU32" s="75"/>
      <c r="CV32" s="75"/>
      <c r="CW32" s="25">
        <f t="shared" si="16"/>
        <v>0.78720000000000001</v>
      </c>
      <c r="CX32" s="75">
        <f t="shared" si="17"/>
        <v>39360000</v>
      </c>
      <c r="CY32" s="75">
        <f t="shared" si="18"/>
        <v>0</v>
      </c>
      <c r="CZ32" s="75">
        <f t="shared" si="19"/>
        <v>0</v>
      </c>
      <c r="DA32" s="75"/>
      <c r="DB32" s="75">
        <f t="shared" si="20"/>
        <v>0</v>
      </c>
      <c r="DC32" s="75">
        <f t="shared" si="21"/>
        <v>0</v>
      </c>
      <c r="DD32" s="75">
        <f t="shared" si="22"/>
        <v>0</v>
      </c>
      <c r="DE32" s="75">
        <f t="shared" si="23"/>
        <v>0</v>
      </c>
      <c r="DF32" s="75"/>
      <c r="DG32" s="75">
        <f t="shared" si="24"/>
        <v>0</v>
      </c>
      <c r="DH32" s="75">
        <f t="shared" si="25"/>
        <v>0</v>
      </c>
      <c r="DI32" s="75"/>
      <c r="DJ32" s="75">
        <f t="shared" si="26"/>
        <v>0</v>
      </c>
      <c r="DK32" s="75">
        <f t="shared" si="27"/>
        <v>0</v>
      </c>
      <c r="DL32" s="75">
        <f t="shared" si="28"/>
        <v>37000000</v>
      </c>
      <c r="DM32" s="75">
        <f t="shared" si="29"/>
        <v>2360000</v>
      </c>
      <c r="DN32" s="75">
        <f t="shared" si="30"/>
        <v>0</v>
      </c>
      <c r="DO32" s="75">
        <f t="shared" si="31"/>
        <v>0</v>
      </c>
      <c r="DP32" s="75">
        <f t="shared" si="32"/>
        <v>0</v>
      </c>
      <c r="DQ32" s="75"/>
      <c r="DR32" s="75">
        <f t="shared" si="33"/>
        <v>0</v>
      </c>
    </row>
    <row r="33" spans="1:122" ht="31.5" customHeight="1" x14ac:dyDescent="0.25">
      <c r="A33" s="226"/>
      <c r="B33" s="238"/>
      <c r="C33" s="82" t="s">
        <v>427</v>
      </c>
      <c r="D33" s="81" t="s">
        <v>426</v>
      </c>
      <c r="E33" s="97">
        <v>510</v>
      </c>
      <c r="F33" s="78" t="s">
        <v>425</v>
      </c>
      <c r="G33" s="229"/>
      <c r="H33" s="79">
        <f t="shared" si="0"/>
        <v>949220</v>
      </c>
      <c r="I33" s="79">
        <f t="shared" si="1"/>
        <v>12050780</v>
      </c>
      <c r="J33" s="229"/>
      <c r="K33" s="229"/>
      <c r="L33" s="229"/>
      <c r="M33" s="75">
        <f t="shared" si="2"/>
        <v>13000000</v>
      </c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>
        <v>8000000</v>
      </c>
      <c r="AB33" s="75"/>
      <c r="AC33" s="75"/>
      <c r="AD33" s="75"/>
      <c r="AE33" s="75"/>
      <c r="AF33" s="75"/>
      <c r="AG33" s="75">
        <v>5000000</v>
      </c>
      <c r="AI33" s="25">
        <f t="shared" si="3"/>
        <v>0.45763230769230767</v>
      </c>
      <c r="AJ33" s="75">
        <f t="shared" si="4"/>
        <v>5949220</v>
      </c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>
        <f>+'[3]ABRIL 2015'!$V$1318</f>
        <v>949220</v>
      </c>
      <c r="AY33" s="75"/>
      <c r="AZ33" s="75"/>
      <c r="BA33" s="75"/>
      <c r="BB33" s="75"/>
      <c r="BC33" s="75"/>
      <c r="BD33" s="75">
        <f>+'[2]JULIO 2015'!$AD$1962</f>
        <v>5000000</v>
      </c>
      <c r="BE33" s="25">
        <f t="shared" si="41"/>
        <v>0.54236769230769233</v>
      </c>
      <c r="BF33" s="75">
        <f t="shared" si="6"/>
        <v>7050780</v>
      </c>
      <c r="BG33" s="75">
        <f t="shared" si="7"/>
        <v>0</v>
      </c>
      <c r="BH33" s="75">
        <f t="shared" si="40"/>
        <v>0</v>
      </c>
      <c r="BI33" s="75"/>
      <c r="BJ33" s="75">
        <f t="shared" si="9"/>
        <v>0</v>
      </c>
      <c r="BK33" s="75"/>
      <c r="BL33" s="75">
        <f t="shared" si="10"/>
        <v>0</v>
      </c>
      <c r="BM33" s="75">
        <f t="shared" si="11"/>
        <v>0</v>
      </c>
      <c r="BN33" s="75"/>
      <c r="BO33" s="75"/>
      <c r="BP33" s="75"/>
      <c r="BQ33" s="75"/>
      <c r="BR33" s="75">
        <f t="shared" si="34"/>
        <v>0</v>
      </c>
      <c r="BS33" s="75">
        <f t="shared" si="35"/>
        <v>0</v>
      </c>
      <c r="BT33" s="75">
        <f t="shared" si="36"/>
        <v>7050780</v>
      </c>
      <c r="BU33" s="75">
        <f t="shared" si="37"/>
        <v>0</v>
      </c>
      <c r="BV33" s="75">
        <f t="shared" si="38"/>
        <v>0</v>
      </c>
      <c r="BW33" s="75">
        <f t="shared" si="39"/>
        <v>0</v>
      </c>
      <c r="BX33" s="75"/>
      <c r="BY33" s="75"/>
      <c r="BZ33" s="75">
        <f t="shared" si="13"/>
        <v>0</v>
      </c>
      <c r="CA33" s="25">
        <f t="shared" si="14"/>
        <v>7.3016923076923076E-2</v>
      </c>
      <c r="CB33" s="75">
        <f t="shared" si="15"/>
        <v>949220</v>
      </c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>
        <f>+'[3]ABRIL 2015'!$H$1316</f>
        <v>949220</v>
      </c>
      <c r="CQ33" s="75"/>
      <c r="CR33" s="75"/>
      <c r="CS33" s="75"/>
      <c r="CT33" s="75"/>
      <c r="CU33" s="75"/>
      <c r="CV33" s="75"/>
      <c r="CW33" s="25">
        <f t="shared" si="16"/>
        <v>0.92698307692307691</v>
      </c>
      <c r="CX33" s="75">
        <f t="shared" si="17"/>
        <v>12050780</v>
      </c>
      <c r="CY33" s="75">
        <f t="shared" si="18"/>
        <v>0</v>
      </c>
      <c r="CZ33" s="75">
        <f t="shared" si="19"/>
        <v>0</v>
      </c>
      <c r="DA33" s="75"/>
      <c r="DB33" s="75">
        <f>Q33-CF33</f>
        <v>0</v>
      </c>
      <c r="DC33" s="75"/>
      <c r="DD33" s="75">
        <f>S33-CH33</f>
        <v>0</v>
      </c>
      <c r="DE33" s="75">
        <f>T33-CI33</f>
        <v>0</v>
      </c>
      <c r="DF33" s="75"/>
      <c r="DG33" s="75">
        <f t="shared" si="24"/>
        <v>0</v>
      </c>
      <c r="DH33" s="75">
        <f t="shared" si="25"/>
        <v>0</v>
      </c>
      <c r="DI33" s="75"/>
      <c r="DJ33" s="75">
        <f t="shared" si="26"/>
        <v>0</v>
      </c>
      <c r="DK33" s="75">
        <f t="shared" si="27"/>
        <v>0</v>
      </c>
      <c r="DL33" s="75">
        <f t="shared" si="28"/>
        <v>7050780</v>
      </c>
      <c r="DM33" s="75">
        <f t="shared" si="29"/>
        <v>0</v>
      </c>
      <c r="DN33" s="75">
        <f t="shared" si="30"/>
        <v>0</v>
      </c>
      <c r="DO33" s="75">
        <f t="shared" si="31"/>
        <v>0</v>
      </c>
      <c r="DP33" s="75">
        <f t="shared" si="32"/>
        <v>0</v>
      </c>
      <c r="DQ33" s="75"/>
      <c r="DR33" s="75">
        <f t="shared" si="33"/>
        <v>5000000</v>
      </c>
    </row>
    <row r="34" spans="1:122" s="68" customFormat="1" ht="28.5" customHeight="1" thickBot="1" x14ac:dyDescent="0.3">
      <c r="A34" s="133"/>
      <c r="B34" s="230" t="s">
        <v>424</v>
      </c>
      <c r="C34" s="231"/>
      <c r="D34" s="231"/>
      <c r="E34" s="232"/>
      <c r="F34" s="123"/>
      <c r="G34" s="131">
        <f>SUM(G4:G33)</f>
        <v>1741000000</v>
      </c>
      <c r="H34" s="131">
        <f>SUM(H4:H33)</f>
        <v>788223117</v>
      </c>
      <c r="I34" s="131">
        <f>SUM(I4:I33)</f>
        <v>1113885646</v>
      </c>
      <c r="J34" s="122"/>
      <c r="K34" s="122"/>
      <c r="L34" s="122"/>
      <c r="M34" s="131">
        <f t="shared" ref="M34:AG34" si="42">SUM(M4:M33)</f>
        <v>1902108763</v>
      </c>
      <c r="N34" s="131">
        <f t="shared" si="42"/>
        <v>0</v>
      </c>
      <c r="O34" s="131">
        <f t="shared" si="42"/>
        <v>0</v>
      </c>
      <c r="P34" s="131">
        <f t="shared" si="42"/>
        <v>0</v>
      </c>
      <c r="Q34" s="131">
        <f t="shared" si="42"/>
        <v>0</v>
      </c>
      <c r="R34" s="131">
        <f t="shared" si="42"/>
        <v>0</v>
      </c>
      <c r="S34" s="131">
        <f t="shared" si="42"/>
        <v>680000000</v>
      </c>
      <c r="T34" s="131">
        <f t="shared" si="42"/>
        <v>321985144</v>
      </c>
      <c r="U34" s="131">
        <f t="shared" si="42"/>
        <v>0</v>
      </c>
      <c r="V34" s="131">
        <f t="shared" si="42"/>
        <v>0</v>
      </c>
      <c r="W34" s="131">
        <f t="shared" si="42"/>
        <v>0</v>
      </c>
      <c r="X34" s="131">
        <f t="shared" si="42"/>
        <v>0</v>
      </c>
      <c r="Y34" s="131">
        <f t="shared" si="42"/>
        <v>0</v>
      </c>
      <c r="Z34" s="131">
        <f t="shared" si="42"/>
        <v>0</v>
      </c>
      <c r="AA34" s="131">
        <f t="shared" si="42"/>
        <v>270000000</v>
      </c>
      <c r="AB34" s="131">
        <f t="shared" si="42"/>
        <v>211000000</v>
      </c>
      <c r="AC34" s="131">
        <f t="shared" si="42"/>
        <v>220000000</v>
      </c>
      <c r="AD34" s="131">
        <f t="shared" si="42"/>
        <v>0</v>
      </c>
      <c r="AE34" s="131">
        <f t="shared" si="42"/>
        <v>0</v>
      </c>
      <c r="AF34" s="131">
        <f t="shared" si="42"/>
        <v>0</v>
      </c>
      <c r="AG34" s="131">
        <f t="shared" si="42"/>
        <v>199123619</v>
      </c>
      <c r="AH34" s="132"/>
      <c r="AI34" s="25">
        <f t="shared" si="3"/>
        <v>0.5189686484820637</v>
      </c>
      <c r="AJ34" s="131">
        <f>SUM(AJ4:AJ33)</f>
        <v>987134814</v>
      </c>
      <c r="AK34" s="131">
        <f>SUM(AK4:AK33)</f>
        <v>0</v>
      </c>
      <c r="AL34" s="131">
        <f>SUM(AL4:AL33)</f>
        <v>0</v>
      </c>
      <c r="AM34" s="131"/>
      <c r="AN34" s="131">
        <f t="shared" ref="AN34:BD34" si="43">SUM(AN4:AN33)</f>
        <v>0</v>
      </c>
      <c r="AO34" s="131">
        <f t="shared" si="43"/>
        <v>0</v>
      </c>
      <c r="AP34" s="131">
        <f t="shared" si="43"/>
        <v>289479122</v>
      </c>
      <c r="AQ34" s="131">
        <f t="shared" si="43"/>
        <v>179680675</v>
      </c>
      <c r="AR34" s="131">
        <f t="shared" si="43"/>
        <v>0</v>
      </c>
      <c r="AS34" s="131">
        <f t="shared" si="43"/>
        <v>0</v>
      </c>
      <c r="AT34" s="131">
        <f t="shared" si="43"/>
        <v>0</v>
      </c>
      <c r="AU34" s="131">
        <f t="shared" si="43"/>
        <v>0</v>
      </c>
      <c r="AV34" s="131">
        <f t="shared" si="43"/>
        <v>0</v>
      </c>
      <c r="AW34" s="131">
        <f t="shared" si="43"/>
        <v>0</v>
      </c>
      <c r="AX34" s="131">
        <f t="shared" si="43"/>
        <v>126214863</v>
      </c>
      <c r="AY34" s="131">
        <f t="shared" si="43"/>
        <v>9709906</v>
      </c>
      <c r="AZ34" s="131">
        <f t="shared" si="43"/>
        <v>220000000</v>
      </c>
      <c r="BA34" s="131">
        <f t="shared" si="43"/>
        <v>0</v>
      </c>
      <c r="BB34" s="131">
        <f t="shared" si="43"/>
        <v>0</v>
      </c>
      <c r="BC34" s="131">
        <f t="shared" si="43"/>
        <v>0</v>
      </c>
      <c r="BD34" s="131">
        <f t="shared" si="43"/>
        <v>162050248</v>
      </c>
      <c r="BE34" s="121">
        <f t="shared" si="41"/>
        <v>0.4810313515179363</v>
      </c>
      <c r="BF34" s="131">
        <f t="shared" ref="BF34:BZ34" si="44">SUM(BF4:BF33)</f>
        <v>914973949</v>
      </c>
      <c r="BG34" s="131">
        <f t="shared" si="44"/>
        <v>0</v>
      </c>
      <c r="BH34" s="131">
        <f t="shared" si="44"/>
        <v>0</v>
      </c>
      <c r="BI34" s="131">
        <f t="shared" si="44"/>
        <v>0</v>
      </c>
      <c r="BJ34" s="131">
        <f t="shared" si="44"/>
        <v>0</v>
      </c>
      <c r="BK34" s="131">
        <f t="shared" si="44"/>
        <v>0</v>
      </c>
      <c r="BL34" s="131">
        <f t="shared" si="44"/>
        <v>390520878</v>
      </c>
      <c r="BM34" s="131">
        <f t="shared" si="44"/>
        <v>142304469</v>
      </c>
      <c r="BN34" s="131">
        <f t="shared" si="44"/>
        <v>0</v>
      </c>
      <c r="BO34" s="131">
        <f t="shared" si="44"/>
        <v>0</v>
      </c>
      <c r="BP34" s="131">
        <f t="shared" si="44"/>
        <v>0</v>
      </c>
      <c r="BQ34" s="131">
        <f t="shared" si="44"/>
        <v>0</v>
      </c>
      <c r="BR34" s="131">
        <f t="shared" si="44"/>
        <v>0</v>
      </c>
      <c r="BS34" s="131">
        <f t="shared" si="44"/>
        <v>0</v>
      </c>
      <c r="BT34" s="131">
        <f t="shared" si="44"/>
        <v>143785137</v>
      </c>
      <c r="BU34" s="131">
        <f t="shared" si="44"/>
        <v>201290094</v>
      </c>
      <c r="BV34" s="131">
        <f t="shared" si="44"/>
        <v>0</v>
      </c>
      <c r="BW34" s="131">
        <f t="shared" si="44"/>
        <v>0</v>
      </c>
      <c r="BX34" s="131">
        <f t="shared" si="44"/>
        <v>0</v>
      </c>
      <c r="BY34" s="131">
        <f t="shared" si="44"/>
        <v>0</v>
      </c>
      <c r="BZ34" s="131">
        <f t="shared" si="44"/>
        <v>37073371</v>
      </c>
      <c r="CA34" s="121">
        <f t="shared" si="14"/>
        <v>0.41439434607136605</v>
      </c>
      <c r="CB34" s="131">
        <f>SUM(CB4:CB33)</f>
        <v>788223117</v>
      </c>
      <c r="CC34" s="131">
        <f>SUM(CC4:CC33)</f>
        <v>0</v>
      </c>
      <c r="CD34" s="131">
        <f>SUM(CD4:CD33)</f>
        <v>0</v>
      </c>
      <c r="CE34" s="131"/>
      <c r="CF34" s="131">
        <f t="shared" ref="CF34:CV34" si="45">SUM(CF4:CF33)</f>
        <v>0</v>
      </c>
      <c r="CG34" s="131">
        <f t="shared" si="45"/>
        <v>0</v>
      </c>
      <c r="CH34" s="131">
        <f t="shared" si="45"/>
        <v>280857251</v>
      </c>
      <c r="CI34" s="131">
        <f t="shared" si="45"/>
        <v>171931109</v>
      </c>
      <c r="CJ34" s="131">
        <f t="shared" si="45"/>
        <v>0</v>
      </c>
      <c r="CK34" s="131">
        <f t="shared" si="45"/>
        <v>0</v>
      </c>
      <c r="CL34" s="131">
        <f t="shared" si="45"/>
        <v>0</v>
      </c>
      <c r="CM34" s="131">
        <f t="shared" si="45"/>
        <v>0</v>
      </c>
      <c r="CN34" s="131">
        <f t="shared" si="45"/>
        <v>0</v>
      </c>
      <c r="CO34" s="131">
        <f t="shared" si="45"/>
        <v>0</v>
      </c>
      <c r="CP34" s="131">
        <f t="shared" si="45"/>
        <v>72513196</v>
      </c>
      <c r="CQ34" s="131">
        <f t="shared" si="45"/>
        <v>9708912</v>
      </c>
      <c r="CR34" s="131">
        <f t="shared" si="45"/>
        <v>168347392</v>
      </c>
      <c r="CS34" s="131">
        <f t="shared" si="45"/>
        <v>0</v>
      </c>
      <c r="CT34" s="131">
        <f t="shared" si="45"/>
        <v>0</v>
      </c>
      <c r="CU34" s="131">
        <f t="shared" si="45"/>
        <v>0</v>
      </c>
      <c r="CV34" s="131">
        <f t="shared" si="45"/>
        <v>84865257</v>
      </c>
      <c r="CW34" s="121">
        <f t="shared" si="16"/>
        <v>0.58560565392863395</v>
      </c>
      <c r="CX34" s="131">
        <f>SUM(CX4:CX33)</f>
        <v>1113885646</v>
      </c>
      <c r="CY34" s="131">
        <f>SUM(CY4:CY33)</f>
        <v>0</v>
      </c>
      <c r="CZ34" s="131">
        <f>SUM(CZ4:CZ33)</f>
        <v>0</v>
      </c>
      <c r="DA34" s="131"/>
      <c r="DB34" s="131">
        <f t="shared" ref="DB34:DR34" si="46">SUM(DB4:DB33)</f>
        <v>0</v>
      </c>
      <c r="DC34" s="131">
        <f t="shared" si="46"/>
        <v>0</v>
      </c>
      <c r="DD34" s="131">
        <f t="shared" si="46"/>
        <v>399142749</v>
      </c>
      <c r="DE34" s="131">
        <f t="shared" si="46"/>
        <v>150054035</v>
      </c>
      <c r="DF34" s="131">
        <f t="shared" si="46"/>
        <v>0</v>
      </c>
      <c r="DG34" s="131">
        <f t="shared" si="46"/>
        <v>0</v>
      </c>
      <c r="DH34" s="131">
        <f t="shared" si="46"/>
        <v>0</v>
      </c>
      <c r="DI34" s="131">
        <f t="shared" si="46"/>
        <v>0</v>
      </c>
      <c r="DJ34" s="131">
        <f t="shared" si="46"/>
        <v>0</v>
      </c>
      <c r="DK34" s="131">
        <f t="shared" si="46"/>
        <v>0</v>
      </c>
      <c r="DL34" s="131">
        <f t="shared" si="46"/>
        <v>197486804</v>
      </c>
      <c r="DM34" s="131">
        <f t="shared" si="46"/>
        <v>201291088</v>
      </c>
      <c r="DN34" s="131">
        <f t="shared" si="46"/>
        <v>51652608</v>
      </c>
      <c r="DO34" s="131">
        <f t="shared" si="46"/>
        <v>0</v>
      </c>
      <c r="DP34" s="131">
        <f t="shared" si="46"/>
        <v>0</v>
      </c>
      <c r="DQ34" s="131">
        <f t="shared" si="46"/>
        <v>0</v>
      </c>
      <c r="DR34" s="130">
        <f t="shared" si="46"/>
        <v>114258362</v>
      </c>
    </row>
    <row r="35" spans="1:122" ht="59.25" customHeight="1" thickTop="1" x14ac:dyDescent="0.25">
      <c r="A35" s="225" t="s">
        <v>423</v>
      </c>
      <c r="B35" s="119" t="s">
        <v>422</v>
      </c>
      <c r="C35" s="82" t="s">
        <v>421</v>
      </c>
      <c r="D35" s="81" t="s">
        <v>420</v>
      </c>
      <c r="E35" s="97">
        <v>410</v>
      </c>
      <c r="F35" s="78" t="s">
        <v>214</v>
      </c>
      <c r="G35" s="240">
        <v>1000000000</v>
      </c>
      <c r="H35" s="79">
        <f t="shared" ref="H35:H66" si="47">+CB35</f>
        <v>611824441</v>
      </c>
      <c r="I35" s="79">
        <f t="shared" ref="I35:I66" si="48">M35-H35</f>
        <v>11996440</v>
      </c>
      <c r="J35" s="129" t="s">
        <v>419</v>
      </c>
      <c r="K35" s="129" t="s">
        <v>418</v>
      </c>
      <c r="L35" s="129" t="s">
        <v>417</v>
      </c>
      <c r="M35" s="75">
        <f t="shared" ref="M35:M66" si="49">SUM(N35:AG35)</f>
        <v>623820881</v>
      </c>
      <c r="N35" s="117"/>
      <c r="O35" s="115">
        <f>100000000+180000000-280000000</f>
        <v>0</v>
      </c>
      <c r="P35" s="115">
        <v>280000000</v>
      </c>
      <c r="Q35" s="75">
        <f>300000000+220000000-216179119</f>
        <v>303820881</v>
      </c>
      <c r="R35" s="117"/>
      <c r="S35" s="75">
        <f>20000000+20000000</f>
        <v>40000000</v>
      </c>
      <c r="T35" s="115">
        <f>400000000-180000000-220000000</f>
        <v>0</v>
      </c>
      <c r="U35" s="117"/>
      <c r="V35" s="117"/>
      <c r="W35" s="117"/>
      <c r="X35" s="117"/>
      <c r="Y35" s="59"/>
      <c r="Z35" s="117"/>
      <c r="AA35" s="117"/>
      <c r="AB35" s="117"/>
      <c r="AC35" s="117"/>
      <c r="AD35" s="117"/>
      <c r="AE35" s="117"/>
      <c r="AF35" s="117"/>
      <c r="AG35" s="117"/>
      <c r="AI35" s="25">
        <f t="shared" si="3"/>
        <v>1</v>
      </c>
      <c r="AJ35" s="75">
        <f t="shared" ref="AJ35:AJ66" si="50">SUM(AK35:BD35)</f>
        <v>623820881</v>
      </c>
      <c r="AK35" s="75"/>
      <c r="AL35" s="75"/>
      <c r="AM35" s="75">
        <v>280000000</v>
      </c>
      <c r="AN35" s="75">
        <f>+'[6]JUNIO 2015'!$M$866</f>
        <v>303820881</v>
      </c>
      <c r="AO35" s="75"/>
      <c r="AP35" s="75">
        <f>+'[6]JUNIO 2015'!$O$866</f>
        <v>40000000</v>
      </c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25">
        <f t="shared" si="41"/>
        <v>0</v>
      </c>
      <c r="BF35" s="75">
        <f t="shared" ref="BF35:BF66" si="51">SUM(BG35:BZ35)</f>
        <v>0</v>
      </c>
      <c r="BG35" s="75">
        <f t="shared" ref="BG35:BG58" si="52">+N35-AK35</f>
        <v>0</v>
      </c>
      <c r="BH35" s="75">
        <f t="shared" ref="BH35:BJ37" si="53">O35-AL35</f>
        <v>0</v>
      </c>
      <c r="BI35" s="75">
        <f t="shared" si="53"/>
        <v>0</v>
      </c>
      <c r="BJ35" s="75">
        <f t="shared" si="53"/>
        <v>0</v>
      </c>
      <c r="BK35" s="75"/>
      <c r="BL35" s="75">
        <f t="shared" ref="BL35:BL58" si="54">+S35-AP35</f>
        <v>0</v>
      </c>
      <c r="BM35" s="75">
        <f t="shared" ref="BM35:BM58" si="55">+T35-AQ35</f>
        <v>0</v>
      </c>
      <c r="BN35" s="75"/>
      <c r="BO35" s="75"/>
      <c r="BP35" s="75">
        <f t="shared" ref="BP35:BP42" si="56">+W35-AT35</f>
        <v>0</v>
      </c>
      <c r="BQ35" s="75"/>
      <c r="BR35" s="75">
        <f t="shared" ref="BR35:BR54" si="57">+Y35-AV35</f>
        <v>0</v>
      </c>
      <c r="BS35" s="75">
        <f t="shared" ref="BS35:BS54" si="58">+Z35-AW35</f>
        <v>0</v>
      </c>
      <c r="BT35" s="75">
        <f t="shared" ref="BT35:BT54" si="59">+AA35-AX35</f>
        <v>0</v>
      </c>
      <c r="BU35" s="75">
        <f t="shared" ref="BU35:BU54" si="60">+AB35-AY35</f>
        <v>0</v>
      </c>
      <c r="BV35" s="75">
        <f t="shared" ref="BV35:BV54" si="61">+AC35-AZ35</f>
        <v>0</v>
      </c>
      <c r="BW35" s="75">
        <f t="shared" ref="BW35:BW54" si="62">+AD35-BA35</f>
        <v>0</v>
      </c>
      <c r="BX35" s="75"/>
      <c r="BY35" s="75"/>
      <c r="BZ35" s="75">
        <f t="shared" ref="BZ35:BZ66" si="63">+AG35-BD35</f>
        <v>0</v>
      </c>
      <c r="CA35" s="25">
        <f t="shared" si="14"/>
        <v>0.98076941576439469</v>
      </c>
      <c r="CB35" s="75">
        <f t="shared" ref="CB35:CB66" si="64">SUM(CC35:CV35)</f>
        <v>611824441</v>
      </c>
      <c r="CC35" s="75"/>
      <c r="CD35" s="75"/>
      <c r="CE35" s="75">
        <f>+'[7]MAYO 2015'!$H$730+'[7]MAYO 2015'!$H$740</f>
        <v>280000000</v>
      </c>
      <c r="CF35" s="75">
        <f>+'[6]JUNIO 2015'!$H$871+'[6]JUNIO 2015'!$H$882</f>
        <v>303820881</v>
      </c>
      <c r="CG35" s="75"/>
      <c r="CH35" s="75">
        <f>+'[2]JULIO 2015'!$H$1039</f>
        <v>28003560</v>
      </c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25">
        <f t="shared" si="16"/>
        <v>1.9230584235605308E-2</v>
      </c>
      <c r="CX35" s="75">
        <f t="shared" ref="CX35:CX66" si="65">SUM(CY35:DR35)</f>
        <v>11996440</v>
      </c>
      <c r="CY35" s="75"/>
      <c r="CZ35" s="75">
        <f t="shared" ref="CZ35:DB37" si="66">O35-CD35</f>
        <v>0</v>
      </c>
      <c r="DA35" s="75">
        <f t="shared" si="66"/>
        <v>0</v>
      </c>
      <c r="DB35" s="75">
        <f t="shared" si="66"/>
        <v>0</v>
      </c>
      <c r="DC35" s="75"/>
      <c r="DD35" s="75">
        <f t="shared" ref="DD35:DD58" si="67">S35-CH35</f>
        <v>11996440</v>
      </c>
      <c r="DE35" s="75">
        <f t="shared" ref="DE35:DE58" si="68">T35-CI35</f>
        <v>0</v>
      </c>
      <c r="DF35" s="75"/>
      <c r="DG35" s="75">
        <f t="shared" ref="DG35:DG58" si="69">+V35-CK35</f>
        <v>0</v>
      </c>
      <c r="DH35" s="75">
        <f t="shared" ref="DH35:DH58" si="70">+W35-CL35</f>
        <v>0</v>
      </c>
      <c r="DI35" s="75"/>
      <c r="DJ35" s="75">
        <f t="shared" ref="DJ35:DJ58" si="71">Y35-CN35</f>
        <v>0</v>
      </c>
      <c r="DK35" s="75">
        <f t="shared" ref="DK35:DK58" si="72">Z35-CO35</f>
        <v>0</v>
      </c>
      <c r="DL35" s="75">
        <f t="shared" ref="DL35:DL58" si="73">AA35-CP35</f>
        <v>0</v>
      </c>
      <c r="DM35" s="75">
        <f t="shared" ref="DM35:DM58" si="74">+AB35-CQ35</f>
        <v>0</v>
      </c>
      <c r="DN35" s="75">
        <f t="shared" ref="DN35:DN58" si="75">+AC35-CR35</f>
        <v>0</v>
      </c>
      <c r="DO35" s="75">
        <f t="shared" ref="DO35:DO58" si="76">+AD35-CS35</f>
        <v>0</v>
      </c>
      <c r="DP35" s="75">
        <f t="shared" ref="DP35:DP58" si="77">+AE35-CT35</f>
        <v>0</v>
      </c>
      <c r="DQ35" s="75"/>
      <c r="DR35" s="75">
        <f t="shared" ref="DR35:DR66" si="78">+AG35-CV35</f>
        <v>0</v>
      </c>
    </row>
    <row r="36" spans="1:122" ht="33" customHeight="1" x14ac:dyDescent="0.25">
      <c r="A36" s="226"/>
      <c r="B36" s="81"/>
      <c r="C36" s="82" t="s">
        <v>416</v>
      </c>
      <c r="D36" s="81" t="s">
        <v>415</v>
      </c>
      <c r="E36" s="97">
        <v>410</v>
      </c>
      <c r="F36" s="78" t="s">
        <v>214</v>
      </c>
      <c r="G36" s="228"/>
      <c r="H36" s="79">
        <f t="shared" si="47"/>
        <v>7649518</v>
      </c>
      <c r="I36" s="79">
        <f t="shared" si="48"/>
        <v>0</v>
      </c>
      <c r="J36" s="78" t="s">
        <v>414</v>
      </c>
      <c r="K36" s="78" t="s">
        <v>413</v>
      </c>
      <c r="L36" s="78" t="s">
        <v>412</v>
      </c>
      <c r="M36" s="75">
        <f t="shared" si="49"/>
        <v>7649518</v>
      </c>
      <c r="N36" s="75"/>
      <c r="O36" s="75">
        <f>100000000-92350482</f>
        <v>7649518</v>
      </c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I36" s="25">
        <f t="shared" ref="AI36:AI67" si="79">+AJ36/M36</f>
        <v>1</v>
      </c>
      <c r="AJ36" s="75">
        <f t="shared" si="50"/>
        <v>7649518</v>
      </c>
      <c r="AK36" s="75"/>
      <c r="AL36" s="75">
        <v>7649518</v>
      </c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25">
        <f t="shared" si="41"/>
        <v>0</v>
      </c>
      <c r="BF36" s="75">
        <f t="shared" si="51"/>
        <v>0</v>
      </c>
      <c r="BG36" s="75">
        <f t="shared" si="52"/>
        <v>0</v>
      </c>
      <c r="BH36" s="75">
        <f t="shared" si="53"/>
        <v>0</v>
      </c>
      <c r="BI36" s="75">
        <f t="shared" si="53"/>
        <v>0</v>
      </c>
      <c r="BJ36" s="75">
        <f t="shared" si="53"/>
        <v>0</v>
      </c>
      <c r="BK36" s="75"/>
      <c r="BL36" s="75">
        <f t="shared" si="54"/>
        <v>0</v>
      </c>
      <c r="BM36" s="75">
        <f t="shared" si="55"/>
        <v>0</v>
      </c>
      <c r="BN36" s="75"/>
      <c r="BO36" s="75"/>
      <c r="BP36" s="75">
        <f t="shared" si="56"/>
        <v>0</v>
      </c>
      <c r="BQ36" s="75"/>
      <c r="BR36" s="75">
        <f t="shared" si="57"/>
        <v>0</v>
      </c>
      <c r="BS36" s="75">
        <f t="shared" si="58"/>
        <v>0</v>
      </c>
      <c r="BT36" s="75">
        <f t="shared" si="59"/>
        <v>0</v>
      </c>
      <c r="BU36" s="75">
        <f t="shared" si="60"/>
        <v>0</v>
      </c>
      <c r="BV36" s="75">
        <f t="shared" si="61"/>
        <v>0</v>
      </c>
      <c r="BW36" s="75">
        <f t="shared" si="62"/>
        <v>0</v>
      </c>
      <c r="BX36" s="75"/>
      <c r="BY36" s="75"/>
      <c r="BZ36" s="75">
        <f t="shared" si="63"/>
        <v>0</v>
      </c>
      <c r="CA36" s="25">
        <f t="shared" ref="CA36:CA67" si="80">+CB36/M36</f>
        <v>1</v>
      </c>
      <c r="CB36" s="75">
        <f t="shared" si="64"/>
        <v>7649518</v>
      </c>
      <c r="CC36" s="75"/>
      <c r="CD36" s="75">
        <f>+'[6]JUNIO 2015'!$K$891</f>
        <v>7649518</v>
      </c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25">
        <f t="shared" ref="CW36:CW66" si="81">1-CA36</f>
        <v>0</v>
      </c>
      <c r="CX36" s="75">
        <f t="shared" si="65"/>
        <v>0</v>
      </c>
      <c r="CY36" s="75"/>
      <c r="CZ36" s="75">
        <f t="shared" si="66"/>
        <v>0</v>
      </c>
      <c r="DA36" s="75">
        <f t="shared" si="66"/>
        <v>0</v>
      </c>
      <c r="DB36" s="75">
        <f t="shared" si="66"/>
        <v>0</v>
      </c>
      <c r="DC36" s="75"/>
      <c r="DD36" s="75">
        <f t="shared" si="67"/>
        <v>0</v>
      </c>
      <c r="DE36" s="75">
        <f t="shared" si="68"/>
        <v>0</v>
      </c>
      <c r="DF36" s="75"/>
      <c r="DG36" s="75">
        <f t="shared" si="69"/>
        <v>0</v>
      </c>
      <c r="DH36" s="75">
        <f t="shared" si="70"/>
        <v>0</v>
      </c>
      <c r="DI36" s="75"/>
      <c r="DJ36" s="75">
        <f t="shared" si="71"/>
        <v>0</v>
      </c>
      <c r="DK36" s="75">
        <f t="shared" si="72"/>
        <v>0</v>
      </c>
      <c r="DL36" s="75">
        <f t="shared" si="73"/>
        <v>0</v>
      </c>
      <c r="DM36" s="75">
        <f t="shared" si="74"/>
        <v>0</v>
      </c>
      <c r="DN36" s="75">
        <f t="shared" si="75"/>
        <v>0</v>
      </c>
      <c r="DO36" s="75">
        <f t="shared" si="76"/>
        <v>0</v>
      </c>
      <c r="DP36" s="75">
        <f t="shared" si="77"/>
        <v>0</v>
      </c>
      <c r="DQ36" s="75"/>
      <c r="DR36" s="75">
        <f t="shared" si="78"/>
        <v>0</v>
      </c>
    </row>
    <row r="37" spans="1:122" ht="48.75" customHeight="1" x14ac:dyDescent="0.25">
      <c r="A37" s="226"/>
      <c r="B37" s="81"/>
      <c r="C37" s="82" t="s">
        <v>411</v>
      </c>
      <c r="D37" s="81" t="s">
        <v>410</v>
      </c>
      <c r="E37" s="97">
        <v>410</v>
      </c>
      <c r="F37" s="78" t="s">
        <v>214</v>
      </c>
      <c r="G37" s="229"/>
      <c r="H37" s="79">
        <f t="shared" si="47"/>
        <v>123114984</v>
      </c>
      <c r="I37" s="79">
        <f t="shared" si="48"/>
        <v>1252839</v>
      </c>
      <c r="J37" s="78" t="s">
        <v>409</v>
      </c>
      <c r="K37" s="78" t="s">
        <v>408</v>
      </c>
      <c r="L37" s="78" t="s">
        <v>407</v>
      </c>
      <c r="M37" s="75">
        <f t="shared" si="49"/>
        <v>124367823</v>
      </c>
      <c r="N37" s="75"/>
      <c r="O37" s="75">
        <f>100000000-38824072</f>
        <v>61175928</v>
      </c>
      <c r="P37" s="75"/>
      <c r="Q37" s="75"/>
      <c r="R37" s="75"/>
      <c r="S37" s="75">
        <v>50000000</v>
      </c>
      <c r="T37" s="75"/>
      <c r="U37" s="75"/>
      <c r="V37" s="75"/>
      <c r="W37" s="75"/>
      <c r="X37" s="75"/>
      <c r="Y37" s="75"/>
      <c r="Z37" s="75"/>
      <c r="AA37" s="75"/>
      <c r="AB37" s="75"/>
      <c r="AC37" s="75">
        <v>13191895</v>
      </c>
      <c r="AD37" s="75"/>
      <c r="AE37" s="75"/>
      <c r="AF37" s="75"/>
      <c r="AG37" s="75"/>
      <c r="AI37" s="25">
        <f t="shared" si="79"/>
        <v>1</v>
      </c>
      <c r="AJ37" s="75">
        <f t="shared" si="50"/>
        <v>124367823</v>
      </c>
      <c r="AK37" s="75"/>
      <c r="AL37" s="75">
        <f>+'[6]JUNIO 2015'!$K$897</f>
        <v>61175928</v>
      </c>
      <c r="AM37" s="75"/>
      <c r="AN37" s="75"/>
      <c r="AO37" s="75"/>
      <c r="AP37" s="75">
        <f>+'[6]JUNIO 2015'!$O$897</f>
        <v>50000000</v>
      </c>
      <c r="AQ37" s="75"/>
      <c r="AR37" s="75"/>
      <c r="AS37" s="75"/>
      <c r="AT37" s="75"/>
      <c r="AU37" s="75"/>
      <c r="AV37" s="75"/>
      <c r="AW37" s="75"/>
      <c r="AX37" s="75"/>
      <c r="AY37" s="75"/>
      <c r="AZ37" s="75">
        <f>+'[2]JULIO 2015'!$Y$1052</f>
        <v>13191895</v>
      </c>
      <c r="BA37" s="75"/>
      <c r="BB37" s="75"/>
      <c r="BC37" s="75"/>
      <c r="BD37" s="75"/>
      <c r="BE37" s="25">
        <f t="shared" si="41"/>
        <v>0</v>
      </c>
      <c r="BF37" s="75">
        <f t="shared" si="51"/>
        <v>0</v>
      </c>
      <c r="BG37" s="75">
        <f t="shared" si="52"/>
        <v>0</v>
      </c>
      <c r="BH37" s="75">
        <f t="shared" si="53"/>
        <v>0</v>
      </c>
      <c r="BI37" s="75">
        <f t="shared" si="53"/>
        <v>0</v>
      </c>
      <c r="BJ37" s="75">
        <f t="shared" si="53"/>
        <v>0</v>
      </c>
      <c r="BK37" s="75"/>
      <c r="BL37" s="75">
        <f t="shared" si="54"/>
        <v>0</v>
      </c>
      <c r="BM37" s="75">
        <f t="shared" si="55"/>
        <v>0</v>
      </c>
      <c r="BN37" s="75"/>
      <c r="BO37" s="75"/>
      <c r="BP37" s="75">
        <f t="shared" si="56"/>
        <v>0</v>
      </c>
      <c r="BQ37" s="75"/>
      <c r="BR37" s="75">
        <f t="shared" si="57"/>
        <v>0</v>
      </c>
      <c r="BS37" s="75">
        <f t="shared" si="58"/>
        <v>0</v>
      </c>
      <c r="BT37" s="75">
        <f t="shared" si="59"/>
        <v>0</v>
      </c>
      <c r="BU37" s="75">
        <f t="shared" si="60"/>
        <v>0</v>
      </c>
      <c r="BV37" s="75">
        <f t="shared" si="61"/>
        <v>0</v>
      </c>
      <c r="BW37" s="75">
        <f t="shared" si="62"/>
        <v>0</v>
      </c>
      <c r="BX37" s="75"/>
      <c r="BY37" s="75"/>
      <c r="BZ37" s="75">
        <f t="shared" si="63"/>
        <v>0</v>
      </c>
      <c r="CA37" s="25">
        <f t="shared" si="80"/>
        <v>0.98992634131740009</v>
      </c>
      <c r="CB37" s="75">
        <f t="shared" si="64"/>
        <v>123114984</v>
      </c>
      <c r="CC37" s="75"/>
      <c r="CD37" s="75">
        <f>+'[6]JUNIO 2015'!$H$898</f>
        <v>61175928</v>
      </c>
      <c r="CE37" s="75"/>
      <c r="CF37" s="75"/>
      <c r="CG37" s="75"/>
      <c r="CH37" s="75">
        <f>+'[1]AGOSTO 2015'!$H$1208</f>
        <v>48747161</v>
      </c>
      <c r="CI37" s="75"/>
      <c r="CJ37" s="75"/>
      <c r="CK37" s="75"/>
      <c r="CL37" s="75"/>
      <c r="CM37" s="75"/>
      <c r="CN37" s="75"/>
      <c r="CO37" s="75"/>
      <c r="CP37" s="75"/>
      <c r="CQ37" s="75"/>
      <c r="CR37" s="75">
        <f>+'[2]JULIO 2015'!$H$1079</f>
        <v>13191895</v>
      </c>
      <c r="CS37" s="75"/>
      <c r="CT37" s="75"/>
      <c r="CU37" s="75"/>
      <c r="CV37" s="75"/>
      <c r="CW37" s="25">
        <f t="shared" si="81"/>
        <v>1.0073658682599906E-2</v>
      </c>
      <c r="CX37" s="75">
        <f t="shared" si="65"/>
        <v>1252839</v>
      </c>
      <c r="CY37" s="75"/>
      <c r="CZ37" s="75">
        <f t="shared" si="66"/>
        <v>0</v>
      </c>
      <c r="DA37" s="75">
        <f t="shared" si="66"/>
        <v>0</v>
      </c>
      <c r="DB37" s="75">
        <f t="shared" si="66"/>
        <v>0</v>
      </c>
      <c r="DC37" s="75"/>
      <c r="DD37" s="75">
        <f t="shared" si="67"/>
        <v>1252839</v>
      </c>
      <c r="DE37" s="75">
        <f t="shared" si="68"/>
        <v>0</v>
      </c>
      <c r="DF37" s="75"/>
      <c r="DG37" s="75">
        <f t="shared" si="69"/>
        <v>0</v>
      </c>
      <c r="DH37" s="75">
        <f t="shared" si="70"/>
        <v>0</v>
      </c>
      <c r="DI37" s="75"/>
      <c r="DJ37" s="75">
        <f t="shared" si="71"/>
        <v>0</v>
      </c>
      <c r="DK37" s="75">
        <f t="shared" si="72"/>
        <v>0</v>
      </c>
      <c r="DL37" s="75">
        <f t="shared" si="73"/>
        <v>0</v>
      </c>
      <c r="DM37" s="75">
        <f t="shared" si="74"/>
        <v>0</v>
      </c>
      <c r="DN37" s="75">
        <f t="shared" si="75"/>
        <v>0</v>
      </c>
      <c r="DO37" s="75">
        <f t="shared" si="76"/>
        <v>0</v>
      </c>
      <c r="DP37" s="75">
        <f t="shared" si="77"/>
        <v>0</v>
      </c>
      <c r="DQ37" s="75"/>
      <c r="DR37" s="75">
        <f t="shared" si="78"/>
        <v>0</v>
      </c>
    </row>
    <row r="38" spans="1:122" ht="32.25" customHeight="1" x14ac:dyDescent="0.25">
      <c r="A38" s="226"/>
      <c r="B38" s="81" t="s">
        <v>406</v>
      </c>
      <c r="C38" s="82" t="s">
        <v>405</v>
      </c>
      <c r="D38" s="81" t="s">
        <v>404</v>
      </c>
      <c r="E38" s="97">
        <v>410</v>
      </c>
      <c r="F38" s="78" t="s">
        <v>214</v>
      </c>
      <c r="G38" s="227">
        <v>170000000</v>
      </c>
      <c r="H38" s="79">
        <f t="shared" si="47"/>
        <v>0</v>
      </c>
      <c r="I38" s="79">
        <f t="shared" si="48"/>
        <v>10000000</v>
      </c>
      <c r="J38" s="78" t="s">
        <v>403</v>
      </c>
      <c r="K38" s="78" t="s">
        <v>402</v>
      </c>
      <c r="L38" s="78" t="s">
        <v>401</v>
      </c>
      <c r="M38" s="75">
        <f t="shared" si="49"/>
        <v>10000000</v>
      </c>
      <c r="N38" s="75"/>
      <c r="O38" s="75"/>
      <c r="P38" s="75"/>
      <c r="Q38" s="75"/>
      <c r="R38" s="75"/>
      <c r="S38" s="75">
        <v>10000000</v>
      </c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I38" s="25">
        <f t="shared" si="79"/>
        <v>1</v>
      </c>
      <c r="AJ38" s="75">
        <f t="shared" si="50"/>
        <v>10000000</v>
      </c>
      <c r="AK38" s="75"/>
      <c r="AL38" s="75"/>
      <c r="AM38" s="75"/>
      <c r="AN38" s="75"/>
      <c r="AO38" s="75"/>
      <c r="AP38" s="75">
        <f>+'[8]FEBRERO 2015'!$N$490</f>
        <v>10000000</v>
      </c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25">
        <f t="shared" si="41"/>
        <v>0</v>
      </c>
      <c r="BF38" s="75">
        <f t="shared" si="51"/>
        <v>0</v>
      </c>
      <c r="BG38" s="75">
        <f t="shared" si="52"/>
        <v>0</v>
      </c>
      <c r="BH38" s="75"/>
      <c r="BI38" s="75">
        <f t="shared" ref="BI38:BI58" si="82">P38-AM38</f>
        <v>0</v>
      </c>
      <c r="BJ38" s="75">
        <f t="shared" ref="BJ38:BJ58" si="83">Q38-AN38</f>
        <v>0</v>
      </c>
      <c r="BK38" s="75"/>
      <c r="BL38" s="75">
        <f t="shared" si="54"/>
        <v>0</v>
      </c>
      <c r="BM38" s="75">
        <f t="shared" si="55"/>
        <v>0</v>
      </c>
      <c r="BN38" s="75"/>
      <c r="BO38" s="75">
        <f>+V38-AS38</f>
        <v>0</v>
      </c>
      <c r="BP38" s="75">
        <f t="shared" si="56"/>
        <v>0</v>
      </c>
      <c r="BQ38" s="75">
        <f>+X38-AU38</f>
        <v>0</v>
      </c>
      <c r="BR38" s="75">
        <f t="shared" si="57"/>
        <v>0</v>
      </c>
      <c r="BS38" s="75">
        <f t="shared" si="58"/>
        <v>0</v>
      </c>
      <c r="BT38" s="75">
        <f t="shared" si="59"/>
        <v>0</v>
      </c>
      <c r="BU38" s="75">
        <f t="shared" si="60"/>
        <v>0</v>
      </c>
      <c r="BV38" s="75">
        <f t="shared" si="61"/>
        <v>0</v>
      </c>
      <c r="BW38" s="75">
        <f t="shared" si="62"/>
        <v>0</v>
      </c>
      <c r="BX38" s="75"/>
      <c r="BY38" s="75"/>
      <c r="BZ38" s="75">
        <f t="shared" si="63"/>
        <v>0</v>
      </c>
      <c r="CA38" s="25">
        <f t="shared" si="80"/>
        <v>0</v>
      </c>
      <c r="CB38" s="75">
        <f t="shared" si="64"/>
        <v>0</v>
      </c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25">
        <f t="shared" si="81"/>
        <v>1</v>
      </c>
      <c r="CX38" s="75">
        <f t="shared" si="65"/>
        <v>10000000</v>
      </c>
      <c r="CY38" s="75"/>
      <c r="CZ38" s="75"/>
      <c r="DA38" s="75"/>
      <c r="DB38" s="75"/>
      <c r="DC38" s="75"/>
      <c r="DD38" s="75">
        <f t="shared" si="67"/>
        <v>10000000</v>
      </c>
      <c r="DE38" s="75">
        <f t="shared" si="68"/>
        <v>0</v>
      </c>
      <c r="DF38" s="75"/>
      <c r="DG38" s="75">
        <f t="shared" si="69"/>
        <v>0</v>
      </c>
      <c r="DH38" s="75">
        <f t="shared" si="70"/>
        <v>0</v>
      </c>
      <c r="DI38" s="75"/>
      <c r="DJ38" s="75">
        <f t="shared" si="71"/>
        <v>0</v>
      </c>
      <c r="DK38" s="75">
        <f t="shared" si="72"/>
        <v>0</v>
      </c>
      <c r="DL38" s="75">
        <f t="shared" si="73"/>
        <v>0</v>
      </c>
      <c r="DM38" s="75">
        <f t="shared" si="74"/>
        <v>0</v>
      </c>
      <c r="DN38" s="75">
        <f t="shared" si="75"/>
        <v>0</v>
      </c>
      <c r="DO38" s="75">
        <f t="shared" si="76"/>
        <v>0</v>
      </c>
      <c r="DP38" s="75">
        <f t="shared" si="77"/>
        <v>0</v>
      </c>
      <c r="DQ38" s="75"/>
      <c r="DR38" s="75">
        <f t="shared" si="78"/>
        <v>0</v>
      </c>
    </row>
    <row r="39" spans="1:122" ht="33" customHeight="1" x14ac:dyDescent="0.25">
      <c r="A39" s="226"/>
      <c r="B39" s="81"/>
      <c r="C39" s="82" t="s">
        <v>400</v>
      </c>
      <c r="D39" s="81" t="s">
        <v>399</v>
      </c>
      <c r="E39" s="97">
        <v>410</v>
      </c>
      <c r="F39" s="78" t="s">
        <v>214</v>
      </c>
      <c r="G39" s="228"/>
      <c r="H39" s="79">
        <f t="shared" si="47"/>
        <v>60634173</v>
      </c>
      <c r="I39" s="79">
        <f t="shared" si="48"/>
        <v>120209912</v>
      </c>
      <c r="J39" s="78" t="s">
        <v>398</v>
      </c>
      <c r="K39" s="78" t="s">
        <v>397</v>
      </c>
      <c r="L39" s="78" t="s">
        <v>396</v>
      </c>
      <c r="M39" s="75">
        <f t="shared" si="49"/>
        <v>180844085</v>
      </c>
      <c r="N39" s="75"/>
      <c r="O39" s="75"/>
      <c r="P39" s="75"/>
      <c r="Q39" s="75"/>
      <c r="R39" s="75"/>
      <c r="S39" s="75">
        <v>20000000</v>
      </c>
      <c r="T39" s="75"/>
      <c r="U39" s="75"/>
      <c r="V39" s="75"/>
      <c r="W39" s="75"/>
      <c r="X39" s="75"/>
      <c r="Y39" s="75"/>
      <c r="Z39" s="75"/>
      <c r="AA39" s="75"/>
      <c r="AB39" s="75">
        <f>100000000-20000000</f>
        <v>80000000</v>
      </c>
      <c r="AC39" s="75"/>
      <c r="AD39" s="75"/>
      <c r="AE39" s="75">
        <v>80844085</v>
      </c>
      <c r="AF39" s="75"/>
      <c r="AG39" s="75"/>
      <c r="AI39" s="25">
        <f t="shared" si="79"/>
        <v>0.91178572967979576</v>
      </c>
      <c r="AJ39" s="75">
        <f t="shared" si="50"/>
        <v>164891056</v>
      </c>
      <c r="AK39" s="75"/>
      <c r="AL39" s="75"/>
      <c r="AM39" s="75"/>
      <c r="AN39" s="75"/>
      <c r="AO39" s="75"/>
      <c r="AP39" s="75">
        <f>+'[8]FEBRERO 2015'!$N$495</f>
        <v>20000000</v>
      </c>
      <c r="AQ39" s="75"/>
      <c r="AR39" s="75"/>
      <c r="AS39" s="75"/>
      <c r="AT39" s="75"/>
      <c r="AU39" s="75"/>
      <c r="AV39" s="75"/>
      <c r="AW39" s="75"/>
      <c r="AX39" s="75"/>
      <c r="AY39" s="75">
        <f>+'[2]JULIO 2015'!$X$1091</f>
        <v>64046971</v>
      </c>
      <c r="AZ39" s="75"/>
      <c r="BA39" s="75"/>
      <c r="BB39" s="75">
        <f>+'[4]MARZO 2015'!$Z$635</f>
        <v>80844085</v>
      </c>
      <c r="BC39" s="75"/>
      <c r="BD39" s="75"/>
      <c r="BE39" s="25">
        <f t="shared" si="41"/>
        <v>8.8214270320204236E-2</v>
      </c>
      <c r="BF39" s="75">
        <f t="shared" si="51"/>
        <v>15953029</v>
      </c>
      <c r="BG39" s="75">
        <f t="shared" si="52"/>
        <v>0</v>
      </c>
      <c r="BH39" s="75"/>
      <c r="BI39" s="75">
        <f t="shared" si="82"/>
        <v>0</v>
      </c>
      <c r="BJ39" s="75">
        <f t="shared" si="83"/>
        <v>0</v>
      </c>
      <c r="BK39" s="75"/>
      <c r="BL39" s="75">
        <f t="shared" si="54"/>
        <v>0</v>
      </c>
      <c r="BM39" s="75">
        <f t="shared" si="55"/>
        <v>0</v>
      </c>
      <c r="BN39" s="75"/>
      <c r="BO39" s="75">
        <f>+V39-AS39</f>
        <v>0</v>
      </c>
      <c r="BP39" s="75">
        <f t="shared" si="56"/>
        <v>0</v>
      </c>
      <c r="BQ39" s="75">
        <f>+X39-AU39</f>
        <v>0</v>
      </c>
      <c r="BR39" s="75">
        <f t="shared" si="57"/>
        <v>0</v>
      </c>
      <c r="BS39" s="75">
        <f t="shared" si="58"/>
        <v>0</v>
      </c>
      <c r="BT39" s="75">
        <f t="shared" si="59"/>
        <v>0</v>
      </c>
      <c r="BU39" s="75">
        <f t="shared" si="60"/>
        <v>15953029</v>
      </c>
      <c r="BV39" s="75">
        <f t="shared" si="61"/>
        <v>0</v>
      </c>
      <c r="BW39" s="75">
        <f t="shared" si="62"/>
        <v>0</v>
      </c>
      <c r="BX39" s="75"/>
      <c r="BY39" s="75"/>
      <c r="BZ39" s="75">
        <f t="shared" si="63"/>
        <v>0</v>
      </c>
      <c r="CA39" s="25">
        <f t="shared" si="80"/>
        <v>0.33528424775408056</v>
      </c>
      <c r="CB39" s="75">
        <f t="shared" si="64"/>
        <v>60634173</v>
      </c>
      <c r="CC39" s="75"/>
      <c r="CD39" s="75"/>
      <c r="CE39" s="75"/>
      <c r="CF39" s="75"/>
      <c r="CG39" s="75"/>
      <c r="CH39" s="75">
        <f>+'[6]JUNIO 2015'!$H$924</f>
        <v>20000000</v>
      </c>
      <c r="CI39" s="75"/>
      <c r="CJ39" s="75"/>
      <c r="CK39" s="75"/>
      <c r="CL39" s="75"/>
      <c r="CM39" s="75"/>
      <c r="CN39" s="75"/>
      <c r="CO39" s="75"/>
      <c r="CP39" s="75"/>
      <c r="CQ39" s="75">
        <f>+'[2]JULIO 2015'!$H$1097</f>
        <v>14819076</v>
      </c>
      <c r="CR39" s="75"/>
      <c r="CS39" s="75"/>
      <c r="CT39" s="75">
        <f>+'[2]JULIO 2015'!$H$1106</f>
        <v>25815097</v>
      </c>
      <c r="CU39" s="75"/>
      <c r="CV39" s="75"/>
      <c r="CW39" s="25">
        <f t="shared" si="81"/>
        <v>0.6647157522459195</v>
      </c>
      <c r="CX39" s="75">
        <f t="shared" si="65"/>
        <v>120209912</v>
      </c>
      <c r="CY39" s="75"/>
      <c r="CZ39" s="75"/>
      <c r="DA39" s="75"/>
      <c r="DB39" s="75"/>
      <c r="DC39" s="75"/>
      <c r="DD39" s="75">
        <f t="shared" si="67"/>
        <v>0</v>
      </c>
      <c r="DE39" s="75">
        <f t="shared" si="68"/>
        <v>0</v>
      </c>
      <c r="DF39" s="75"/>
      <c r="DG39" s="75">
        <f t="shared" si="69"/>
        <v>0</v>
      </c>
      <c r="DH39" s="75">
        <f t="shared" si="70"/>
        <v>0</v>
      </c>
      <c r="DI39" s="75"/>
      <c r="DJ39" s="75">
        <f t="shared" si="71"/>
        <v>0</v>
      </c>
      <c r="DK39" s="75">
        <f t="shared" si="72"/>
        <v>0</v>
      </c>
      <c r="DL39" s="75">
        <f t="shared" si="73"/>
        <v>0</v>
      </c>
      <c r="DM39" s="75">
        <f t="shared" si="74"/>
        <v>65180924</v>
      </c>
      <c r="DN39" s="75">
        <f t="shared" si="75"/>
        <v>0</v>
      </c>
      <c r="DO39" s="75">
        <f t="shared" si="76"/>
        <v>0</v>
      </c>
      <c r="DP39" s="75">
        <f t="shared" si="77"/>
        <v>55028988</v>
      </c>
      <c r="DQ39" s="75"/>
      <c r="DR39" s="75">
        <f t="shared" si="78"/>
        <v>0</v>
      </c>
    </row>
    <row r="40" spans="1:122" ht="37.5" customHeight="1" x14ac:dyDescent="0.25">
      <c r="A40" s="226"/>
      <c r="B40" s="81"/>
      <c r="C40" s="82" t="s">
        <v>395</v>
      </c>
      <c r="D40" s="81" t="s">
        <v>394</v>
      </c>
      <c r="E40" s="97">
        <v>410</v>
      </c>
      <c r="F40" s="78" t="s">
        <v>214</v>
      </c>
      <c r="G40" s="228"/>
      <c r="H40" s="79">
        <f t="shared" si="47"/>
        <v>1064000</v>
      </c>
      <c r="I40" s="79">
        <f t="shared" si="48"/>
        <v>8936000</v>
      </c>
      <c r="J40" s="78" t="s">
        <v>393</v>
      </c>
      <c r="K40" s="78" t="s">
        <v>392</v>
      </c>
      <c r="L40" s="78" t="s">
        <v>391</v>
      </c>
      <c r="M40" s="75">
        <f t="shared" si="49"/>
        <v>10000000</v>
      </c>
      <c r="N40" s="75"/>
      <c r="O40" s="75"/>
      <c r="P40" s="75"/>
      <c r="Q40" s="75"/>
      <c r="R40" s="75"/>
      <c r="S40" s="75">
        <v>10000000</v>
      </c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I40" s="25">
        <f t="shared" si="79"/>
        <v>1</v>
      </c>
      <c r="AJ40" s="75">
        <f t="shared" si="50"/>
        <v>10000000</v>
      </c>
      <c r="AK40" s="75"/>
      <c r="AL40" s="75"/>
      <c r="AM40" s="75"/>
      <c r="AN40" s="75"/>
      <c r="AO40" s="75"/>
      <c r="AP40" s="75">
        <f>+'[8]FEBRERO 2015'!$N$501</f>
        <v>10000000</v>
      </c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25">
        <f t="shared" si="41"/>
        <v>0</v>
      </c>
      <c r="BF40" s="75">
        <f t="shared" si="51"/>
        <v>0</v>
      </c>
      <c r="BG40" s="75">
        <f t="shared" si="52"/>
        <v>0</v>
      </c>
      <c r="BH40" s="75"/>
      <c r="BI40" s="75">
        <f t="shared" si="82"/>
        <v>0</v>
      </c>
      <c r="BJ40" s="75">
        <f t="shared" si="83"/>
        <v>0</v>
      </c>
      <c r="BK40" s="75"/>
      <c r="BL40" s="75">
        <f t="shared" si="54"/>
        <v>0</v>
      </c>
      <c r="BM40" s="75">
        <f t="shared" si="55"/>
        <v>0</v>
      </c>
      <c r="BN40" s="75"/>
      <c r="BO40" s="75">
        <f>+V40-AS40</f>
        <v>0</v>
      </c>
      <c r="BP40" s="75">
        <f t="shared" si="56"/>
        <v>0</v>
      </c>
      <c r="BQ40" s="75">
        <f>+X40-AU40</f>
        <v>0</v>
      </c>
      <c r="BR40" s="75">
        <f t="shared" si="57"/>
        <v>0</v>
      </c>
      <c r="BS40" s="75">
        <f t="shared" si="58"/>
        <v>0</v>
      </c>
      <c r="BT40" s="75">
        <f t="shared" si="59"/>
        <v>0</v>
      </c>
      <c r="BU40" s="75">
        <f t="shared" si="60"/>
        <v>0</v>
      </c>
      <c r="BV40" s="75">
        <f t="shared" si="61"/>
        <v>0</v>
      </c>
      <c r="BW40" s="75">
        <f t="shared" si="62"/>
        <v>0</v>
      </c>
      <c r="BX40" s="75"/>
      <c r="BY40" s="75"/>
      <c r="BZ40" s="75">
        <f t="shared" si="63"/>
        <v>0</v>
      </c>
      <c r="CA40" s="25">
        <f t="shared" si="80"/>
        <v>0.10639999999999999</v>
      </c>
      <c r="CB40" s="75">
        <f t="shared" si="64"/>
        <v>1064000</v>
      </c>
      <c r="CC40" s="75"/>
      <c r="CD40" s="75"/>
      <c r="CE40" s="75"/>
      <c r="CF40" s="75"/>
      <c r="CG40" s="75"/>
      <c r="CH40" s="75">
        <f>+'[1]AGOSTO 2015'!$H$1265</f>
        <v>1064000</v>
      </c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25">
        <f t="shared" si="81"/>
        <v>0.89359999999999995</v>
      </c>
      <c r="CX40" s="75">
        <f t="shared" si="65"/>
        <v>8936000</v>
      </c>
      <c r="CY40" s="75"/>
      <c r="CZ40" s="75"/>
      <c r="DA40" s="75"/>
      <c r="DB40" s="75"/>
      <c r="DC40" s="75"/>
      <c r="DD40" s="75">
        <f t="shared" si="67"/>
        <v>8936000</v>
      </c>
      <c r="DE40" s="75">
        <f t="shared" si="68"/>
        <v>0</v>
      </c>
      <c r="DF40" s="75"/>
      <c r="DG40" s="75">
        <f t="shared" si="69"/>
        <v>0</v>
      </c>
      <c r="DH40" s="75">
        <f t="shared" si="70"/>
        <v>0</v>
      </c>
      <c r="DI40" s="75"/>
      <c r="DJ40" s="75">
        <f t="shared" si="71"/>
        <v>0</v>
      </c>
      <c r="DK40" s="75">
        <f t="shared" si="72"/>
        <v>0</v>
      </c>
      <c r="DL40" s="75">
        <f t="shared" si="73"/>
        <v>0</v>
      </c>
      <c r="DM40" s="75">
        <f t="shared" si="74"/>
        <v>0</v>
      </c>
      <c r="DN40" s="75">
        <f t="shared" si="75"/>
        <v>0</v>
      </c>
      <c r="DO40" s="75">
        <f t="shared" si="76"/>
        <v>0</v>
      </c>
      <c r="DP40" s="75">
        <f t="shared" si="77"/>
        <v>0</v>
      </c>
      <c r="DQ40" s="75"/>
      <c r="DR40" s="75">
        <f t="shared" si="78"/>
        <v>0</v>
      </c>
    </row>
    <row r="41" spans="1:122" ht="33" customHeight="1" x14ac:dyDescent="0.25">
      <c r="A41" s="226"/>
      <c r="B41" s="81"/>
      <c r="C41" s="82" t="s">
        <v>390</v>
      </c>
      <c r="D41" s="81" t="s">
        <v>389</v>
      </c>
      <c r="E41" s="97">
        <v>410</v>
      </c>
      <c r="F41" s="78" t="s">
        <v>214</v>
      </c>
      <c r="G41" s="228"/>
      <c r="H41" s="79">
        <f t="shared" si="47"/>
        <v>6500000</v>
      </c>
      <c r="I41" s="79">
        <f t="shared" si="48"/>
        <v>3500000</v>
      </c>
      <c r="J41" s="78" t="s">
        <v>388</v>
      </c>
      <c r="K41" s="78" t="s">
        <v>387</v>
      </c>
      <c r="L41" s="78" t="s">
        <v>386</v>
      </c>
      <c r="M41" s="75">
        <f t="shared" si="49"/>
        <v>10000000</v>
      </c>
      <c r="N41" s="75"/>
      <c r="O41" s="75"/>
      <c r="P41" s="75"/>
      <c r="Q41" s="75"/>
      <c r="R41" s="75"/>
      <c r="S41" s="75">
        <f>30000000-20000000</f>
        <v>10000000</v>
      </c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I41" s="25">
        <f t="shared" si="79"/>
        <v>1</v>
      </c>
      <c r="AJ41" s="75">
        <f t="shared" si="50"/>
        <v>10000000</v>
      </c>
      <c r="AK41" s="75"/>
      <c r="AL41" s="75"/>
      <c r="AM41" s="75"/>
      <c r="AN41" s="75"/>
      <c r="AO41" s="75"/>
      <c r="AP41" s="75">
        <f>+'[6]JUNIO 2015'!$O$956</f>
        <v>10000000</v>
      </c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25">
        <f t="shared" si="41"/>
        <v>0</v>
      </c>
      <c r="BF41" s="75">
        <f t="shared" si="51"/>
        <v>0</v>
      </c>
      <c r="BG41" s="75">
        <f t="shared" si="52"/>
        <v>0</v>
      </c>
      <c r="BH41" s="75"/>
      <c r="BI41" s="75">
        <f t="shared" si="82"/>
        <v>0</v>
      </c>
      <c r="BJ41" s="75">
        <f t="shared" si="83"/>
        <v>0</v>
      </c>
      <c r="BK41" s="75"/>
      <c r="BL41" s="75">
        <f t="shared" si="54"/>
        <v>0</v>
      </c>
      <c r="BM41" s="75">
        <f t="shared" si="55"/>
        <v>0</v>
      </c>
      <c r="BN41" s="75"/>
      <c r="BO41" s="75">
        <f>+V41-AS41</f>
        <v>0</v>
      </c>
      <c r="BP41" s="75">
        <f t="shared" si="56"/>
        <v>0</v>
      </c>
      <c r="BQ41" s="75">
        <f>+X41-AU41</f>
        <v>0</v>
      </c>
      <c r="BR41" s="75">
        <f t="shared" si="57"/>
        <v>0</v>
      </c>
      <c r="BS41" s="75">
        <f t="shared" si="58"/>
        <v>0</v>
      </c>
      <c r="BT41" s="75">
        <f t="shared" si="59"/>
        <v>0</v>
      </c>
      <c r="BU41" s="75">
        <f t="shared" si="60"/>
        <v>0</v>
      </c>
      <c r="BV41" s="75">
        <f t="shared" si="61"/>
        <v>0</v>
      </c>
      <c r="BW41" s="75">
        <f t="shared" si="62"/>
        <v>0</v>
      </c>
      <c r="BX41" s="75"/>
      <c r="BY41" s="75"/>
      <c r="BZ41" s="75">
        <f t="shared" si="63"/>
        <v>0</v>
      </c>
      <c r="CA41" s="25">
        <f t="shared" si="80"/>
        <v>0.65</v>
      </c>
      <c r="CB41" s="75">
        <f t="shared" si="64"/>
        <v>6500000</v>
      </c>
      <c r="CC41" s="75"/>
      <c r="CD41" s="75"/>
      <c r="CE41" s="75"/>
      <c r="CF41" s="75"/>
      <c r="CG41" s="75"/>
      <c r="CH41" s="75">
        <f>+'[2]JULIO 2015'!$H$1127</f>
        <v>6500000</v>
      </c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25">
        <f t="shared" si="81"/>
        <v>0.35</v>
      </c>
      <c r="CX41" s="75">
        <f t="shared" si="65"/>
        <v>3500000</v>
      </c>
      <c r="CY41" s="75"/>
      <c r="CZ41" s="75"/>
      <c r="DA41" s="75"/>
      <c r="DB41" s="75"/>
      <c r="DC41" s="75"/>
      <c r="DD41" s="75">
        <f t="shared" si="67"/>
        <v>3500000</v>
      </c>
      <c r="DE41" s="75">
        <f t="shared" si="68"/>
        <v>0</v>
      </c>
      <c r="DF41" s="75"/>
      <c r="DG41" s="75">
        <f t="shared" si="69"/>
        <v>0</v>
      </c>
      <c r="DH41" s="75">
        <f t="shared" si="70"/>
        <v>0</v>
      </c>
      <c r="DI41" s="75"/>
      <c r="DJ41" s="75">
        <f t="shared" si="71"/>
        <v>0</v>
      </c>
      <c r="DK41" s="75">
        <f t="shared" si="72"/>
        <v>0</v>
      </c>
      <c r="DL41" s="75">
        <f t="shared" si="73"/>
        <v>0</v>
      </c>
      <c r="DM41" s="75">
        <f t="shared" si="74"/>
        <v>0</v>
      </c>
      <c r="DN41" s="75">
        <f t="shared" si="75"/>
        <v>0</v>
      </c>
      <c r="DO41" s="75">
        <f t="shared" si="76"/>
        <v>0</v>
      </c>
      <c r="DP41" s="75">
        <f t="shared" si="77"/>
        <v>0</v>
      </c>
      <c r="DQ41" s="75"/>
      <c r="DR41" s="75">
        <f t="shared" si="78"/>
        <v>0</v>
      </c>
    </row>
    <row r="42" spans="1:122" ht="28.5" customHeight="1" x14ac:dyDescent="0.25">
      <c r="A42" s="226"/>
      <c r="B42" s="81"/>
      <c r="C42" s="82" t="s">
        <v>385</v>
      </c>
      <c r="D42" s="81" t="s">
        <v>384</v>
      </c>
      <c r="E42" s="97">
        <v>410</v>
      </c>
      <c r="F42" s="78" t="s">
        <v>383</v>
      </c>
      <c r="G42" s="228"/>
      <c r="H42" s="79">
        <f t="shared" si="47"/>
        <v>3087000</v>
      </c>
      <c r="I42" s="79">
        <f t="shared" si="48"/>
        <v>47890063</v>
      </c>
      <c r="J42" s="78" t="s">
        <v>382</v>
      </c>
      <c r="K42" s="78" t="s">
        <v>381</v>
      </c>
      <c r="L42" s="78" t="s">
        <v>380</v>
      </c>
      <c r="M42" s="75">
        <f t="shared" si="49"/>
        <v>50977063</v>
      </c>
      <c r="N42" s="75"/>
      <c r="O42" s="75"/>
      <c r="P42" s="75"/>
      <c r="Q42" s="75"/>
      <c r="R42" s="75"/>
      <c r="S42" s="75">
        <v>50000000</v>
      </c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>
        <v>977063</v>
      </c>
      <c r="AI42" s="25">
        <f t="shared" si="79"/>
        <v>0.98083328182323881</v>
      </c>
      <c r="AJ42" s="75">
        <f t="shared" si="50"/>
        <v>50000000</v>
      </c>
      <c r="AK42" s="75"/>
      <c r="AL42" s="75"/>
      <c r="AM42" s="75"/>
      <c r="AN42" s="75"/>
      <c r="AO42" s="75"/>
      <c r="AP42" s="75">
        <f>+'[8]FEBRERO 2015'!$N$511</f>
        <v>50000000</v>
      </c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25">
        <f t="shared" si="41"/>
        <v>1.9166718176761188E-2</v>
      </c>
      <c r="BF42" s="75">
        <f t="shared" si="51"/>
        <v>977063</v>
      </c>
      <c r="BG42" s="75">
        <f t="shared" si="52"/>
        <v>0</v>
      </c>
      <c r="BH42" s="75"/>
      <c r="BI42" s="75">
        <f t="shared" si="82"/>
        <v>0</v>
      </c>
      <c r="BJ42" s="75">
        <f t="shared" si="83"/>
        <v>0</v>
      </c>
      <c r="BK42" s="75"/>
      <c r="BL42" s="75">
        <f t="shared" si="54"/>
        <v>0</v>
      </c>
      <c r="BM42" s="75">
        <f t="shared" si="55"/>
        <v>0</v>
      </c>
      <c r="BN42" s="75"/>
      <c r="BO42" s="75">
        <f>+V42-AS42</f>
        <v>0</v>
      </c>
      <c r="BP42" s="75">
        <f t="shared" si="56"/>
        <v>0</v>
      </c>
      <c r="BQ42" s="75">
        <f>+X42-AU42</f>
        <v>0</v>
      </c>
      <c r="BR42" s="75">
        <f t="shared" si="57"/>
        <v>0</v>
      </c>
      <c r="BS42" s="75">
        <f t="shared" si="58"/>
        <v>0</v>
      </c>
      <c r="BT42" s="75">
        <f t="shared" si="59"/>
        <v>0</v>
      </c>
      <c r="BU42" s="75">
        <f t="shared" si="60"/>
        <v>0</v>
      </c>
      <c r="BV42" s="75">
        <f t="shared" si="61"/>
        <v>0</v>
      </c>
      <c r="BW42" s="75">
        <f t="shared" si="62"/>
        <v>0</v>
      </c>
      <c r="BX42" s="75"/>
      <c r="BY42" s="75"/>
      <c r="BZ42" s="75">
        <f t="shared" si="63"/>
        <v>977063</v>
      </c>
      <c r="CA42" s="25">
        <f t="shared" si="80"/>
        <v>6.0556646819766767E-2</v>
      </c>
      <c r="CB42" s="75">
        <f t="shared" si="64"/>
        <v>3087000</v>
      </c>
      <c r="CC42" s="75"/>
      <c r="CD42" s="75"/>
      <c r="CE42" s="75"/>
      <c r="CF42" s="75"/>
      <c r="CG42" s="75"/>
      <c r="CH42" s="75">
        <f>+'[1]AGOSTO 2015'!$H$1279</f>
        <v>3087000</v>
      </c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25">
        <f t="shared" si="81"/>
        <v>0.9394433531802332</v>
      </c>
      <c r="CX42" s="75">
        <f t="shared" si="65"/>
        <v>47890063</v>
      </c>
      <c r="CY42" s="75"/>
      <c r="CZ42" s="75"/>
      <c r="DA42" s="75"/>
      <c r="DB42" s="75"/>
      <c r="DC42" s="75"/>
      <c r="DD42" s="75">
        <f t="shared" si="67"/>
        <v>46913000</v>
      </c>
      <c r="DE42" s="75">
        <f t="shared" si="68"/>
        <v>0</v>
      </c>
      <c r="DF42" s="75"/>
      <c r="DG42" s="75">
        <f t="shared" si="69"/>
        <v>0</v>
      </c>
      <c r="DH42" s="75">
        <f t="shared" si="70"/>
        <v>0</v>
      </c>
      <c r="DI42" s="75"/>
      <c r="DJ42" s="75">
        <f t="shared" si="71"/>
        <v>0</v>
      </c>
      <c r="DK42" s="75">
        <f t="shared" si="72"/>
        <v>0</v>
      </c>
      <c r="DL42" s="75">
        <f t="shared" si="73"/>
        <v>0</v>
      </c>
      <c r="DM42" s="75">
        <f t="shared" si="74"/>
        <v>0</v>
      </c>
      <c r="DN42" s="75">
        <f t="shared" si="75"/>
        <v>0</v>
      </c>
      <c r="DO42" s="75">
        <f t="shared" si="76"/>
        <v>0</v>
      </c>
      <c r="DP42" s="75">
        <f t="shared" si="77"/>
        <v>0</v>
      </c>
      <c r="DQ42" s="75"/>
      <c r="DR42" s="75">
        <f t="shared" si="78"/>
        <v>977063</v>
      </c>
    </row>
    <row r="43" spans="1:122" ht="33.75" customHeight="1" x14ac:dyDescent="0.25">
      <c r="A43" s="226"/>
      <c r="B43" s="81"/>
      <c r="C43" s="82" t="s">
        <v>379</v>
      </c>
      <c r="D43" s="81" t="s">
        <v>378</v>
      </c>
      <c r="E43" s="97">
        <v>410</v>
      </c>
      <c r="F43" s="78" t="s">
        <v>214</v>
      </c>
      <c r="G43" s="229"/>
      <c r="H43" s="79">
        <f t="shared" si="47"/>
        <v>68403590</v>
      </c>
      <c r="I43" s="79">
        <f t="shared" si="48"/>
        <v>1596410</v>
      </c>
      <c r="J43" s="78" t="s">
        <v>377</v>
      </c>
      <c r="K43" s="78" t="s">
        <v>376</v>
      </c>
      <c r="L43" s="78" t="s">
        <v>375</v>
      </c>
      <c r="M43" s="75">
        <f t="shared" si="49"/>
        <v>70000000</v>
      </c>
      <c r="N43" s="75"/>
      <c r="O43" s="75"/>
      <c r="P43" s="75"/>
      <c r="Q43" s="75"/>
      <c r="R43" s="75"/>
      <c r="S43" s="75">
        <f>50000000+20000000</f>
        <v>70000000</v>
      </c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I43" s="25">
        <f t="shared" si="79"/>
        <v>1</v>
      </c>
      <c r="AJ43" s="75">
        <f t="shared" si="50"/>
        <v>70000000</v>
      </c>
      <c r="AK43" s="75"/>
      <c r="AL43" s="75"/>
      <c r="AM43" s="75"/>
      <c r="AN43" s="75"/>
      <c r="AO43" s="75"/>
      <c r="AP43" s="75">
        <f>+'[6]JUNIO 2015'!$O$970</f>
        <v>70000000</v>
      </c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25">
        <f t="shared" si="41"/>
        <v>0</v>
      </c>
      <c r="BF43" s="75">
        <f t="shared" si="51"/>
        <v>0</v>
      </c>
      <c r="BG43" s="75">
        <f t="shared" si="52"/>
        <v>0</v>
      </c>
      <c r="BH43" s="75"/>
      <c r="BI43" s="75">
        <f t="shared" si="82"/>
        <v>0</v>
      </c>
      <c r="BJ43" s="75">
        <f t="shared" si="83"/>
        <v>0</v>
      </c>
      <c r="BK43" s="75"/>
      <c r="BL43" s="75">
        <f t="shared" si="54"/>
        <v>0</v>
      </c>
      <c r="BM43" s="75">
        <f t="shared" si="55"/>
        <v>0</v>
      </c>
      <c r="BN43" s="75"/>
      <c r="BO43" s="75"/>
      <c r="BP43" s="75"/>
      <c r="BQ43" s="75"/>
      <c r="BR43" s="75">
        <f t="shared" si="57"/>
        <v>0</v>
      </c>
      <c r="BS43" s="75">
        <f t="shared" si="58"/>
        <v>0</v>
      </c>
      <c r="BT43" s="75">
        <f t="shared" si="59"/>
        <v>0</v>
      </c>
      <c r="BU43" s="75">
        <f t="shared" si="60"/>
        <v>0</v>
      </c>
      <c r="BV43" s="75">
        <f t="shared" si="61"/>
        <v>0</v>
      </c>
      <c r="BW43" s="75">
        <f t="shared" si="62"/>
        <v>0</v>
      </c>
      <c r="BX43" s="75"/>
      <c r="BY43" s="75"/>
      <c r="BZ43" s="75">
        <f t="shared" si="63"/>
        <v>0</v>
      </c>
      <c r="CA43" s="25">
        <f t="shared" si="80"/>
        <v>0.9771941428571429</v>
      </c>
      <c r="CB43" s="75">
        <f t="shared" si="64"/>
        <v>68403590</v>
      </c>
      <c r="CC43" s="75"/>
      <c r="CD43" s="75"/>
      <c r="CE43" s="75"/>
      <c r="CF43" s="75"/>
      <c r="CG43" s="75"/>
      <c r="CH43" s="75">
        <f>+'[1]AGOSTO 2015'!$H$1286</f>
        <v>68403590</v>
      </c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25">
        <f t="shared" si="81"/>
        <v>2.28058571428571E-2</v>
      </c>
      <c r="CX43" s="75">
        <f t="shared" si="65"/>
        <v>1596410</v>
      </c>
      <c r="CY43" s="75"/>
      <c r="CZ43" s="75"/>
      <c r="DA43" s="75"/>
      <c r="DB43" s="75"/>
      <c r="DC43" s="75"/>
      <c r="DD43" s="75">
        <f t="shared" si="67"/>
        <v>1596410</v>
      </c>
      <c r="DE43" s="75">
        <f t="shared" si="68"/>
        <v>0</v>
      </c>
      <c r="DF43" s="75"/>
      <c r="DG43" s="75">
        <f t="shared" si="69"/>
        <v>0</v>
      </c>
      <c r="DH43" s="75">
        <f t="shared" si="70"/>
        <v>0</v>
      </c>
      <c r="DI43" s="75"/>
      <c r="DJ43" s="75">
        <f t="shared" si="71"/>
        <v>0</v>
      </c>
      <c r="DK43" s="75">
        <f t="shared" si="72"/>
        <v>0</v>
      </c>
      <c r="DL43" s="75">
        <f t="shared" si="73"/>
        <v>0</v>
      </c>
      <c r="DM43" s="75">
        <f t="shared" si="74"/>
        <v>0</v>
      </c>
      <c r="DN43" s="75">
        <f t="shared" si="75"/>
        <v>0</v>
      </c>
      <c r="DO43" s="75">
        <f t="shared" si="76"/>
        <v>0</v>
      </c>
      <c r="DP43" s="75">
        <f t="shared" si="77"/>
        <v>0</v>
      </c>
      <c r="DQ43" s="75"/>
      <c r="DR43" s="75">
        <f t="shared" si="78"/>
        <v>0</v>
      </c>
    </row>
    <row r="44" spans="1:122" ht="35.25" customHeight="1" x14ac:dyDescent="0.25">
      <c r="A44" s="226"/>
      <c r="B44" s="128" t="s">
        <v>374</v>
      </c>
      <c r="C44" s="82" t="s">
        <v>373</v>
      </c>
      <c r="D44" s="81" t="s">
        <v>372</v>
      </c>
      <c r="E44" s="127">
        <v>410</v>
      </c>
      <c r="F44" s="78" t="s">
        <v>214</v>
      </c>
      <c r="G44" s="227">
        <v>303000000</v>
      </c>
      <c r="H44" s="79">
        <f t="shared" si="47"/>
        <v>29457678</v>
      </c>
      <c r="I44" s="79">
        <f t="shared" si="48"/>
        <v>24964993</v>
      </c>
      <c r="J44" s="78" t="s">
        <v>371</v>
      </c>
      <c r="K44" s="78" t="s">
        <v>370</v>
      </c>
      <c r="L44" s="78" t="s">
        <v>369</v>
      </c>
      <c r="M44" s="75">
        <f t="shared" si="49"/>
        <v>54422671</v>
      </c>
      <c r="N44" s="75"/>
      <c r="O44" s="75">
        <f>80000000-69189100</f>
        <v>10810900</v>
      </c>
      <c r="P44" s="75"/>
      <c r="Q44" s="75"/>
      <c r="R44" s="75"/>
      <c r="S44" s="75"/>
      <c r="T44" s="75">
        <f>20000000</f>
        <v>20000000</v>
      </c>
      <c r="U44" s="75"/>
      <c r="V44" s="75"/>
      <c r="W44" s="75"/>
      <c r="X44" s="75"/>
      <c r="Y44" s="75"/>
      <c r="Z44" s="75"/>
      <c r="AA44" s="75"/>
      <c r="AB44" s="75"/>
      <c r="AC44" s="75">
        <v>23611771</v>
      </c>
      <c r="AD44" s="75"/>
      <c r="AE44" s="75"/>
      <c r="AF44" s="75"/>
      <c r="AG44" s="75"/>
      <c r="AI44" s="25">
        <f t="shared" si="79"/>
        <v>0.97676078779742359</v>
      </c>
      <c r="AJ44" s="75">
        <f t="shared" si="50"/>
        <v>53157931</v>
      </c>
      <c r="AK44" s="75"/>
      <c r="AL44" s="75">
        <f>+'[6]JUNIO 2015'!$K$1009</f>
        <v>9546220</v>
      </c>
      <c r="AM44" s="75"/>
      <c r="AN44" s="75"/>
      <c r="AO44" s="75"/>
      <c r="AP44" s="75"/>
      <c r="AQ44" s="75">
        <f>+'[6]JUNIO 2015'!$P$1009</f>
        <v>20000000</v>
      </c>
      <c r="AR44" s="75"/>
      <c r="AS44" s="75"/>
      <c r="AT44" s="75"/>
      <c r="AU44" s="75"/>
      <c r="AV44" s="75"/>
      <c r="AW44" s="75"/>
      <c r="AX44" s="75"/>
      <c r="AY44" s="75"/>
      <c r="AZ44" s="75">
        <f>+'[2]JULIO 2015'!$Y$1192</f>
        <v>23611711</v>
      </c>
      <c r="BA44" s="75"/>
      <c r="BB44" s="75"/>
      <c r="BC44" s="75"/>
      <c r="BD44" s="75"/>
      <c r="BE44" s="25">
        <f t="shared" si="41"/>
        <v>2.3239212202576409E-2</v>
      </c>
      <c r="BF44" s="75">
        <f t="shared" si="51"/>
        <v>1264740</v>
      </c>
      <c r="BG44" s="75">
        <f t="shared" si="52"/>
        <v>0</v>
      </c>
      <c r="BH44" s="75">
        <f>O44-AL44</f>
        <v>1264680</v>
      </c>
      <c r="BI44" s="75">
        <f t="shared" si="82"/>
        <v>0</v>
      </c>
      <c r="BJ44" s="75">
        <f t="shared" si="83"/>
        <v>0</v>
      </c>
      <c r="BK44" s="75"/>
      <c r="BL44" s="75">
        <f t="shared" si="54"/>
        <v>0</v>
      </c>
      <c r="BM44" s="75">
        <f t="shared" si="55"/>
        <v>0</v>
      </c>
      <c r="BN44" s="75"/>
      <c r="BO44" s="75">
        <f t="shared" ref="BO44:BQ48" si="84">+V44-AS44</f>
        <v>0</v>
      </c>
      <c r="BP44" s="75">
        <f t="shared" si="84"/>
        <v>0</v>
      </c>
      <c r="BQ44" s="75">
        <f t="shared" si="84"/>
        <v>0</v>
      </c>
      <c r="BR44" s="75">
        <f t="shared" si="57"/>
        <v>0</v>
      </c>
      <c r="BS44" s="75">
        <f t="shared" si="58"/>
        <v>0</v>
      </c>
      <c r="BT44" s="75">
        <f t="shared" si="59"/>
        <v>0</v>
      </c>
      <c r="BU44" s="75">
        <f t="shared" si="60"/>
        <v>0</v>
      </c>
      <c r="BV44" s="75">
        <f t="shared" si="61"/>
        <v>60</v>
      </c>
      <c r="BW44" s="75">
        <f t="shared" si="62"/>
        <v>0</v>
      </c>
      <c r="BX44" s="75"/>
      <c r="BY44" s="75"/>
      <c r="BZ44" s="75">
        <f t="shared" si="63"/>
        <v>0</v>
      </c>
      <c r="CA44" s="25">
        <f t="shared" si="80"/>
        <v>0.54127585909923459</v>
      </c>
      <c r="CB44" s="75">
        <f t="shared" si="64"/>
        <v>29457678</v>
      </c>
      <c r="CC44" s="75"/>
      <c r="CD44" s="75">
        <f>+'[6]JUNIO 2015'!$H$1010</f>
        <v>9546220</v>
      </c>
      <c r="CE44" s="75"/>
      <c r="CF44" s="75"/>
      <c r="CG44" s="75"/>
      <c r="CH44" s="75"/>
      <c r="CI44" s="75">
        <f>+'[1]AGOSTO 2015'!$H$1349</f>
        <v>19911458</v>
      </c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25">
        <f t="shared" si="81"/>
        <v>0.45872414090076541</v>
      </c>
      <c r="CX44" s="75">
        <f t="shared" si="65"/>
        <v>24964993</v>
      </c>
      <c r="CY44" s="75"/>
      <c r="CZ44" s="75">
        <f t="shared" ref="CZ44:DB45" si="85">O44-CD44</f>
        <v>1264680</v>
      </c>
      <c r="DA44" s="75">
        <f t="shared" si="85"/>
        <v>0</v>
      </c>
      <c r="DB44" s="75">
        <f t="shared" si="85"/>
        <v>0</v>
      </c>
      <c r="DC44" s="75"/>
      <c r="DD44" s="75">
        <f t="shared" si="67"/>
        <v>0</v>
      </c>
      <c r="DE44" s="75">
        <f t="shared" si="68"/>
        <v>88542</v>
      </c>
      <c r="DF44" s="75"/>
      <c r="DG44" s="75">
        <f t="shared" si="69"/>
        <v>0</v>
      </c>
      <c r="DH44" s="75">
        <f t="shared" si="70"/>
        <v>0</v>
      </c>
      <c r="DI44" s="75"/>
      <c r="DJ44" s="75">
        <f t="shared" si="71"/>
        <v>0</v>
      </c>
      <c r="DK44" s="75">
        <f t="shared" si="72"/>
        <v>0</v>
      </c>
      <c r="DL44" s="75">
        <f t="shared" si="73"/>
        <v>0</v>
      </c>
      <c r="DM44" s="75">
        <f t="shared" si="74"/>
        <v>0</v>
      </c>
      <c r="DN44" s="75">
        <f t="shared" si="75"/>
        <v>23611771</v>
      </c>
      <c r="DO44" s="75">
        <f t="shared" si="76"/>
        <v>0</v>
      </c>
      <c r="DP44" s="75">
        <f t="shared" si="77"/>
        <v>0</v>
      </c>
      <c r="DQ44" s="75"/>
      <c r="DR44" s="75">
        <f t="shared" si="78"/>
        <v>0</v>
      </c>
    </row>
    <row r="45" spans="1:122" ht="35.25" customHeight="1" x14ac:dyDescent="0.25">
      <c r="A45" s="226"/>
      <c r="B45" s="81"/>
      <c r="C45" s="82" t="s">
        <v>368</v>
      </c>
      <c r="D45" s="126" t="s">
        <v>367</v>
      </c>
      <c r="E45" s="97">
        <v>410</v>
      </c>
      <c r="F45" s="78" t="s">
        <v>214</v>
      </c>
      <c r="G45" s="228"/>
      <c r="H45" s="79">
        <f t="shared" si="47"/>
        <v>14950724</v>
      </c>
      <c r="I45" s="79">
        <f t="shared" si="48"/>
        <v>32131206</v>
      </c>
      <c r="J45" s="78" t="s">
        <v>366</v>
      </c>
      <c r="K45" s="78" t="s">
        <v>365</v>
      </c>
      <c r="L45" s="78" t="s">
        <v>364</v>
      </c>
      <c r="M45" s="75">
        <f t="shared" si="49"/>
        <v>47081930</v>
      </c>
      <c r="N45" s="75"/>
      <c r="O45" s="75">
        <f>64000000-61918070</f>
        <v>2081930</v>
      </c>
      <c r="P45" s="75"/>
      <c r="Q45" s="75"/>
      <c r="R45" s="75"/>
      <c r="S45" s="75"/>
      <c r="T45" s="75">
        <f>20000000</f>
        <v>20000000</v>
      </c>
      <c r="U45" s="75"/>
      <c r="V45" s="75"/>
      <c r="W45" s="75"/>
      <c r="X45" s="75"/>
      <c r="Y45" s="75"/>
      <c r="Z45" s="75"/>
      <c r="AA45" s="75"/>
      <c r="AB45" s="75"/>
      <c r="AC45" s="75">
        <v>25000000</v>
      </c>
      <c r="AD45" s="75"/>
      <c r="AE45" s="75"/>
      <c r="AF45" s="75"/>
      <c r="AG45" s="75"/>
      <c r="AI45" s="25">
        <f t="shared" si="79"/>
        <v>1</v>
      </c>
      <c r="AJ45" s="75">
        <f t="shared" si="50"/>
        <v>47081930</v>
      </c>
      <c r="AK45" s="75"/>
      <c r="AL45" s="75">
        <f>+'[6]JUNIO 2015'!$K$1023</f>
        <v>2081930</v>
      </c>
      <c r="AM45" s="75"/>
      <c r="AN45" s="75"/>
      <c r="AO45" s="75"/>
      <c r="AP45" s="75"/>
      <c r="AQ45" s="75">
        <f>+'[6]JUNIO 2015'!$P$1023</f>
        <v>20000000</v>
      </c>
      <c r="AR45" s="75"/>
      <c r="AS45" s="75"/>
      <c r="AT45" s="75"/>
      <c r="AU45" s="75"/>
      <c r="AV45" s="75"/>
      <c r="AW45" s="75"/>
      <c r="AX45" s="75"/>
      <c r="AY45" s="75"/>
      <c r="AZ45" s="75">
        <f>+'[2]JULIO 2015'!$Y$1215</f>
        <v>25000000</v>
      </c>
      <c r="BA45" s="75"/>
      <c r="BB45" s="75"/>
      <c r="BC45" s="75"/>
      <c r="BD45" s="75"/>
      <c r="BE45" s="25">
        <f t="shared" si="41"/>
        <v>0</v>
      </c>
      <c r="BF45" s="75">
        <f t="shared" si="51"/>
        <v>0</v>
      </c>
      <c r="BG45" s="75">
        <f t="shared" si="52"/>
        <v>0</v>
      </c>
      <c r="BH45" s="75">
        <f>O45-AL45</f>
        <v>0</v>
      </c>
      <c r="BI45" s="75">
        <f t="shared" si="82"/>
        <v>0</v>
      </c>
      <c r="BJ45" s="75">
        <f t="shared" si="83"/>
        <v>0</v>
      </c>
      <c r="BK45" s="75"/>
      <c r="BL45" s="75">
        <f t="shared" si="54"/>
        <v>0</v>
      </c>
      <c r="BM45" s="75">
        <f t="shared" si="55"/>
        <v>0</v>
      </c>
      <c r="BN45" s="75"/>
      <c r="BO45" s="75">
        <f t="shared" si="84"/>
        <v>0</v>
      </c>
      <c r="BP45" s="75">
        <f t="shared" si="84"/>
        <v>0</v>
      </c>
      <c r="BQ45" s="75">
        <f t="shared" si="84"/>
        <v>0</v>
      </c>
      <c r="BR45" s="75">
        <f t="shared" si="57"/>
        <v>0</v>
      </c>
      <c r="BS45" s="75">
        <f t="shared" si="58"/>
        <v>0</v>
      </c>
      <c r="BT45" s="75">
        <f t="shared" si="59"/>
        <v>0</v>
      </c>
      <c r="BU45" s="75">
        <f t="shared" si="60"/>
        <v>0</v>
      </c>
      <c r="BV45" s="75">
        <f t="shared" si="61"/>
        <v>0</v>
      </c>
      <c r="BW45" s="75">
        <f t="shared" si="62"/>
        <v>0</v>
      </c>
      <c r="BX45" s="75"/>
      <c r="BY45" s="75"/>
      <c r="BZ45" s="75">
        <f t="shared" si="63"/>
        <v>0</v>
      </c>
      <c r="CA45" s="25">
        <f t="shared" si="80"/>
        <v>0.31754696547061684</v>
      </c>
      <c r="CB45" s="75">
        <f t="shared" si="64"/>
        <v>14950724</v>
      </c>
      <c r="CC45" s="75"/>
      <c r="CD45" s="75">
        <f>+'[7]MAYO 2015'!$H$858</f>
        <v>2081930</v>
      </c>
      <c r="CE45" s="75"/>
      <c r="CF45" s="75"/>
      <c r="CG45" s="75"/>
      <c r="CH45" s="75"/>
      <c r="CI45" s="75">
        <f>+'[1]AGOSTO 2015'!$H$1370</f>
        <v>12868794</v>
      </c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25">
        <f t="shared" si="81"/>
        <v>0.68245303452938311</v>
      </c>
      <c r="CX45" s="75">
        <f t="shared" si="65"/>
        <v>32131206</v>
      </c>
      <c r="CY45" s="75"/>
      <c r="CZ45" s="75">
        <f t="shared" si="85"/>
        <v>0</v>
      </c>
      <c r="DA45" s="75">
        <f t="shared" si="85"/>
        <v>0</v>
      </c>
      <c r="DB45" s="75">
        <f t="shared" si="85"/>
        <v>0</v>
      </c>
      <c r="DC45" s="75"/>
      <c r="DD45" s="75">
        <f t="shared" si="67"/>
        <v>0</v>
      </c>
      <c r="DE45" s="75">
        <f t="shared" si="68"/>
        <v>7131206</v>
      </c>
      <c r="DF45" s="75"/>
      <c r="DG45" s="75">
        <f t="shared" si="69"/>
        <v>0</v>
      </c>
      <c r="DH45" s="75">
        <f t="shared" si="70"/>
        <v>0</v>
      </c>
      <c r="DI45" s="75"/>
      <c r="DJ45" s="75">
        <f t="shared" si="71"/>
        <v>0</v>
      </c>
      <c r="DK45" s="75">
        <f t="shared" si="72"/>
        <v>0</v>
      </c>
      <c r="DL45" s="75">
        <f t="shared" si="73"/>
        <v>0</v>
      </c>
      <c r="DM45" s="75">
        <f t="shared" si="74"/>
        <v>0</v>
      </c>
      <c r="DN45" s="75">
        <f t="shared" si="75"/>
        <v>25000000</v>
      </c>
      <c r="DO45" s="75">
        <f t="shared" si="76"/>
        <v>0</v>
      </c>
      <c r="DP45" s="75">
        <f t="shared" si="77"/>
        <v>0</v>
      </c>
      <c r="DQ45" s="75"/>
      <c r="DR45" s="75">
        <f t="shared" si="78"/>
        <v>0</v>
      </c>
    </row>
    <row r="46" spans="1:122" ht="32.25" customHeight="1" x14ac:dyDescent="0.25">
      <c r="A46" s="226"/>
      <c r="B46" s="81"/>
      <c r="C46" s="82" t="s">
        <v>363</v>
      </c>
      <c r="D46" s="81" t="s">
        <v>362</v>
      </c>
      <c r="E46" s="97">
        <v>410</v>
      </c>
      <c r="F46" s="78" t="s">
        <v>74</v>
      </c>
      <c r="G46" s="228"/>
      <c r="H46" s="79">
        <f t="shared" si="47"/>
        <v>3028000</v>
      </c>
      <c r="I46" s="79">
        <f t="shared" si="48"/>
        <v>4972000</v>
      </c>
      <c r="J46" s="78" t="s">
        <v>361</v>
      </c>
      <c r="K46" s="78" t="s">
        <v>360</v>
      </c>
      <c r="L46" s="78" t="s">
        <v>359</v>
      </c>
      <c r="M46" s="75">
        <f t="shared" si="49"/>
        <v>8000000</v>
      </c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>
        <f>3000000+5000000</f>
        <v>8000000</v>
      </c>
      <c r="AI46" s="25">
        <f t="shared" si="79"/>
        <v>1</v>
      </c>
      <c r="AJ46" s="75">
        <f t="shared" si="50"/>
        <v>8000000</v>
      </c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>
        <f>+'[2]JULIO 2015'!$G$1233</f>
        <v>8000000</v>
      </c>
      <c r="BE46" s="25">
        <f t="shared" si="41"/>
        <v>0</v>
      </c>
      <c r="BF46" s="75">
        <f t="shared" si="51"/>
        <v>0</v>
      </c>
      <c r="BG46" s="75">
        <f t="shared" si="52"/>
        <v>0</v>
      </c>
      <c r="BH46" s="75"/>
      <c r="BI46" s="75">
        <f t="shared" si="82"/>
        <v>0</v>
      </c>
      <c r="BJ46" s="75">
        <f t="shared" si="83"/>
        <v>0</v>
      </c>
      <c r="BK46" s="75"/>
      <c r="BL46" s="75">
        <f t="shared" si="54"/>
        <v>0</v>
      </c>
      <c r="BM46" s="75">
        <f t="shared" si="55"/>
        <v>0</v>
      </c>
      <c r="BN46" s="75"/>
      <c r="BO46" s="75">
        <f t="shared" si="84"/>
        <v>0</v>
      </c>
      <c r="BP46" s="75">
        <f t="shared" si="84"/>
        <v>0</v>
      </c>
      <c r="BQ46" s="75">
        <f t="shared" si="84"/>
        <v>0</v>
      </c>
      <c r="BR46" s="75">
        <f t="shared" si="57"/>
        <v>0</v>
      </c>
      <c r="BS46" s="75">
        <f t="shared" si="58"/>
        <v>0</v>
      </c>
      <c r="BT46" s="75">
        <f t="shared" si="59"/>
        <v>0</v>
      </c>
      <c r="BU46" s="75">
        <f t="shared" si="60"/>
        <v>0</v>
      </c>
      <c r="BV46" s="75">
        <f t="shared" si="61"/>
        <v>0</v>
      </c>
      <c r="BW46" s="75">
        <f t="shared" si="62"/>
        <v>0</v>
      </c>
      <c r="BX46" s="75"/>
      <c r="BY46" s="75"/>
      <c r="BZ46" s="75">
        <f t="shared" si="63"/>
        <v>0</v>
      </c>
      <c r="CA46" s="25">
        <f t="shared" si="80"/>
        <v>0.3785</v>
      </c>
      <c r="CB46" s="75">
        <f t="shared" si="64"/>
        <v>3028000</v>
      </c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>
        <f>+'[1]AGOSTO 2015'!$H$1393+'[1]AGOSTO 2015'!$H$1401</f>
        <v>3028000</v>
      </c>
      <c r="CW46" s="25">
        <f t="shared" si="81"/>
        <v>0.62149999999999994</v>
      </c>
      <c r="CX46" s="75">
        <f t="shared" si="65"/>
        <v>4972000</v>
      </c>
      <c r="CY46" s="75"/>
      <c r="CZ46" s="75"/>
      <c r="DA46" s="75"/>
      <c r="DB46" s="75">
        <f t="shared" ref="DB46:DB58" si="86">Q46-CF46</f>
        <v>0</v>
      </c>
      <c r="DC46" s="75"/>
      <c r="DD46" s="75">
        <f t="shared" si="67"/>
        <v>0</v>
      </c>
      <c r="DE46" s="75">
        <f t="shared" si="68"/>
        <v>0</v>
      </c>
      <c r="DF46" s="75"/>
      <c r="DG46" s="75">
        <f t="shared" si="69"/>
        <v>0</v>
      </c>
      <c r="DH46" s="75">
        <f t="shared" si="70"/>
        <v>0</v>
      </c>
      <c r="DI46" s="75"/>
      <c r="DJ46" s="75">
        <f t="shared" si="71"/>
        <v>0</v>
      </c>
      <c r="DK46" s="75">
        <f t="shared" si="72"/>
        <v>0</v>
      </c>
      <c r="DL46" s="75">
        <f t="shared" si="73"/>
        <v>0</v>
      </c>
      <c r="DM46" s="75">
        <f t="shared" si="74"/>
        <v>0</v>
      </c>
      <c r="DN46" s="75">
        <f t="shared" si="75"/>
        <v>0</v>
      </c>
      <c r="DO46" s="75">
        <f t="shared" si="76"/>
        <v>0</v>
      </c>
      <c r="DP46" s="75">
        <f t="shared" si="77"/>
        <v>0</v>
      </c>
      <c r="DQ46" s="75"/>
      <c r="DR46" s="75">
        <f t="shared" si="78"/>
        <v>4972000</v>
      </c>
    </row>
    <row r="47" spans="1:122" ht="41.25" customHeight="1" x14ac:dyDescent="0.25">
      <c r="A47" s="226"/>
      <c r="B47" s="81"/>
      <c r="C47" s="82" t="s">
        <v>358</v>
      </c>
      <c r="D47" s="81" t="s">
        <v>357</v>
      </c>
      <c r="E47" s="97">
        <v>410</v>
      </c>
      <c r="F47" s="78" t="s">
        <v>214</v>
      </c>
      <c r="G47" s="229"/>
      <c r="H47" s="79">
        <f t="shared" si="47"/>
        <v>142910666</v>
      </c>
      <c r="I47" s="79">
        <f t="shared" si="48"/>
        <v>3089334</v>
      </c>
      <c r="J47" s="78"/>
      <c r="K47" s="78"/>
      <c r="L47" s="78"/>
      <c r="M47" s="75">
        <f t="shared" si="49"/>
        <v>146000000</v>
      </c>
      <c r="N47" s="75"/>
      <c r="O47" s="75">
        <f>98670877-98670877</f>
        <v>0</v>
      </c>
      <c r="P47" s="75">
        <v>98670877</v>
      </c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>
        <f>57329123-10000000</f>
        <v>47329123</v>
      </c>
      <c r="AB47" s="75"/>
      <c r="AC47" s="75"/>
      <c r="AD47" s="75"/>
      <c r="AE47" s="75"/>
      <c r="AF47" s="75"/>
      <c r="AG47" s="75"/>
      <c r="AI47" s="25">
        <f t="shared" si="79"/>
        <v>1</v>
      </c>
      <c r="AJ47" s="75">
        <f t="shared" si="50"/>
        <v>146000000</v>
      </c>
      <c r="AK47" s="75"/>
      <c r="AL47" s="75"/>
      <c r="AM47" s="75">
        <v>98670877</v>
      </c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>
        <f>+'[4]MARZO 2015'!$V$700-10000000</f>
        <v>47329123</v>
      </c>
      <c r="AY47" s="75"/>
      <c r="AZ47" s="75"/>
      <c r="BA47" s="75"/>
      <c r="BB47" s="75"/>
      <c r="BC47" s="75"/>
      <c r="BD47" s="75"/>
      <c r="BE47" s="25">
        <f t="shared" si="41"/>
        <v>0</v>
      </c>
      <c r="BF47" s="75">
        <f t="shared" si="51"/>
        <v>0</v>
      </c>
      <c r="BG47" s="75">
        <f t="shared" si="52"/>
        <v>0</v>
      </c>
      <c r="BH47" s="75">
        <f t="shared" ref="BH47:BH56" si="87">O47-AL47</f>
        <v>0</v>
      </c>
      <c r="BI47" s="75">
        <f t="shared" si="82"/>
        <v>0</v>
      </c>
      <c r="BJ47" s="75">
        <f t="shared" si="83"/>
        <v>0</v>
      </c>
      <c r="BK47" s="75"/>
      <c r="BL47" s="75">
        <f t="shared" si="54"/>
        <v>0</v>
      </c>
      <c r="BM47" s="75">
        <f t="shared" si="55"/>
        <v>0</v>
      </c>
      <c r="BN47" s="75"/>
      <c r="BO47" s="75">
        <f t="shared" si="84"/>
        <v>0</v>
      </c>
      <c r="BP47" s="75">
        <f t="shared" si="84"/>
        <v>0</v>
      </c>
      <c r="BQ47" s="75">
        <f t="shared" si="84"/>
        <v>0</v>
      </c>
      <c r="BR47" s="75">
        <f t="shared" si="57"/>
        <v>0</v>
      </c>
      <c r="BS47" s="75">
        <f t="shared" si="58"/>
        <v>0</v>
      </c>
      <c r="BT47" s="75">
        <f t="shared" si="59"/>
        <v>0</v>
      </c>
      <c r="BU47" s="75">
        <f t="shared" si="60"/>
        <v>0</v>
      </c>
      <c r="BV47" s="75">
        <f t="shared" si="61"/>
        <v>0</v>
      </c>
      <c r="BW47" s="75">
        <f t="shared" si="62"/>
        <v>0</v>
      </c>
      <c r="BX47" s="75"/>
      <c r="BY47" s="75"/>
      <c r="BZ47" s="75">
        <f t="shared" si="63"/>
        <v>0</v>
      </c>
      <c r="CA47" s="25">
        <f t="shared" si="80"/>
        <v>0.97884017808219181</v>
      </c>
      <c r="CB47" s="75">
        <f t="shared" si="64"/>
        <v>142910666</v>
      </c>
      <c r="CC47" s="75"/>
      <c r="CD47" s="75"/>
      <c r="CE47" s="75">
        <v>98670877</v>
      </c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>
        <f>+'[1]AGOSTO 2015'!$H$1417</f>
        <v>44239789</v>
      </c>
      <c r="CQ47" s="75"/>
      <c r="CR47" s="75"/>
      <c r="CS47" s="75"/>
      <c r="CT47" s="75"/>
      <c r="CU47" s="75"/>
      <c r="CV47" s="75"/>
      <c r="CW47" s="25">
        <f t="shared" si="81"/>
        <v>2.1159821917808186E-2</v>
      </c>
      <c r="CX47" s="75">
        <f t="shared" si="65"/>
        <v>3089334</v>
      </c>
      <c r="CY47" s="75"/>
      <c r="CZ47" s="75">
        <f t="shared" ref="CZ47:DA49" si="88">O47-CD47</f>
        <v>0</v>
      </c>
      <c r="DA47" s="75">
        <f t="shared" si="88"/>
        <v>0</v>
      </c>
      <c r="DB47" s="75">
        <f t="shared" si="86"/>
        <v>0</v>
      </c>
      <c r="DC47" s="75"/>
      <c r="DD47" s="75">
        <f t="shared" si="67"/>
        <v>0</v>
      </c>
      <c r="DE47" s="75">
        <f t="shared" si="68"/>
        <v>0</v>
      </c>
      <c r="DF47" s="75"/>
      <c r="DG47" s="75">
        <f t="shared" si="69"/>
        <v>0</v>
      </c>
      <c r="DH47" s="75">
        <f t="shared" si="70"/>
        <v>0</v>
      </c>
      <c r="DI47" s="75"/>
      <c r="DJ47" s="75">
        <f t="shared" si="71"/>
        <v>0</v>
      </c>
      <c r="DK47" s="75">
        <f t="shared" si="72"/>
        <v>0</v>
      </c>
      <c r="DL47" s="75">
        <f t="shared" si="73"/>
        <v>3089334</v>
      </c>
      <c r="DM47" s="75">
        <f t="shared" si="74"/>
        <v>0</v>
      </c>
      <c r="DN47" s="75">
        <f t="shared" si="75"/>
        <v>0</v>
      </c>
      <c r="DO47" s="75">
        <f t="shared" si="76"/>
        <v>0</v>
      </c>
      <c r="DP47" s="75">
        <f t="shared" si="77"/>
        <v>0</v>
      </c>
      <c r="DQ47" s="75"/>
      <c r="DR47" s="75">
        <f t="shared" si="78"/>
        <v>0</v>
      </c>
    </row>
    <row r="48" spans="1:122" ht="35.25" customHeight="1" x14ac:dyDescent="0.25">
      <c r="A48" s="226"/>
      <c r="B48" s="81" t="s">
        <v>356</v>
      </c>
      <c r="C48" s="82" t="s">
        <v>355</v>
      </c>
      <c r="D48" s="81" t="s">
        <v>354</v>
      </c>
      <c r="E48" s="97">
        <v>410</v>
      </c>
      <c r="F48" s="78" t="s">
        <v>214</v>
      </c>
      <c r="G48" s="227">
        <v>1150000000</v>
      </c>
      <c r="H48" s="79">
        <f t="shared" si="47"/>
        <v>395507537</v>
      </c>
      <c r="I48" s="79">
        <f t="shared" si="48"/>
        <v>219373463</v>
      </c>
      <c r="J48" s="78" t="s">
        <v>353</v>
      </c>
      <c r="K48" s="78" t="s">
        <v>352</v>
      </c>
      <c r="L48" s="78" t="s">
        <v>351</v>
      </c>
      <c r="M48" s="125">
        <f t="shared" si="49"/>
        <v>614881000</v>
      </c>
      <c r="N48" s="45"/>
      <c r="O48" s="75">
        <f>420000000-415119000</f>
        <v>4881000</v>
      </c>
      <c r="P48" s="75"/>
      <c r="Q48" s="75"/>
      <c r="R48" s="75"/>
      <c r="S48" s="75">
        <f>30000000+30000000+10000000+20000000</f>
        <v>90000000</v>
      </c>
      <c r="T48" s="75">
        <f>5000000+10000000</f>
        <v>15000000</v>
      </c>
      <c r="U48" s="75">
        <v>102810569</v>
      </c>
      <c r="V48" s="75">
        <v>219471348</v>
      </c>
      <c r="W48" s="75"/>
      <c r="X48" s="75"/>
      <c r="Y48" s="75"/>
      <c r="Z48" s="75"/>
      <c r="AA48" s="75">
        <f>10000000</f>
        <v>10000000</v>
      </c>
      <c r="AB48" s="75">
        <f>82718083+10000000+20000000+10000000</f>
        <v>122718083</v>
      </c>
      <c r="AC48" s="75">
        <f>30000000+10000000+10000000</f>
        <v>50000000</v>
      </c>
      <c r="AD48" s="75"/>
      <c r="AE48" s="75"/>
      <c r="AF48" s="75"/>
      <c r="AG48" s="75"/>
      <c r="AI48" s="25">
        <f t="shared" si="79"/>
        <v>1</v>
      </c>
      <c r="AJ48" s="75">
        <f t="shared" si="50"/>
        <v>614881000</v>
      </c>
      <c r="AK48" s="75"/>
      <c r="AL48" s="75">
        <f>+'[6]JUNIO 2015'!$K$1062</f>
        <v>4881000</v>
      </c>
      <c r="AM48" s="75"/>
      <c r="AN48" s="75"/>
      <c r="AO48" s="75"/>
      <c r="AP48" s="75">
        <f>+'[6]JUNIO 2015'!$O$1062</f>
        <v>90000000</v>
      </c>
      <c r="AQ48" s="75">
        <f>+'[6]JUNIO 2015'!$P$1062</f>
        <v>15000000</v>
      </c>
      <c r="AR48" s="75">
        <f>+'[5]FEBRERO 2015'!$P$585</f>
        <v>102810569</v>
      </c>
      <c r="AS48" s="75">
        <f>+'[5]FEBRERO 2015'!$Q$585</f>
        <v>219471348</v>
      </c>
      <c r="AT48" s="75"/>
      <c r="AU48" s="75"/>
      <c r="AV48" s="75"/>
      <c r="AW48" s="75"/>
      <c r="AX48" s="75">
        <f>+'[6]JUNIO 2015'!$W$1062</f>
        <v>10000000</v>
      </c>
      <c r="AY48" s="75">
        <f>+'[6]JUNIO 2015'!$X$1062</f>
        <v>122718083</v>
      </c>
      <c r="AZ48" s="75">
        <f>+'[6]JUNIO 2015'!$Y$1062</f>
        <v>50000000</v>
      </c>
      <c r="BA48" s="75"/>
      <c r="BB48" s="75"/>
      <c r="BC48" s="75"/>
      <c r="BD48" s="75"/>
      <c r="BE48" s="25">
        <f t="shared" si="41"/>
        <v>0</v>
      </c>
      <c r="BF48" s="75">
        <f t="shared" si="51"/>
        <v>0</v>
      </c>
      <c r="BG48" s="75">
        <f t="shared" si="52"/>
        <v>0</v>
      </c>
      <c r="BH48" s="75">
        <f t="shared" si="87"/>
        <v>0</v>
      </c>
      <c r="BI48" s="75">
        <f t="shared" si="82"/>
        <v>0</v>
      </c>
      <c r="BJ48" s="75">
        <f t="shared" si="83"/>
        <v>0</v>
      </c>
      <c r="BK48" s="75"/>
      <c r="BL48" s="75">
        <f t="shared" si="54"/>
        <v>0</v>
      </c>
      <c r="BM48" s="75">
        <f t="shared" si="55"/>
        <v>0</v>
      </c>
      <c r="BN48" s="75">
        <f>+U48-AR48</f>
        <v>0</v>
      </c>
      <c r="BO48" s="75">
        <f t="shared" si="84"/>
        <v>0</v>
      </c>
      <c r="BP48" s="75">
        <f t="shared" si="84"/>
        <v>0</v>
      </c>
      <c r="BQ48" s="75">
        <f t="shared" si="84"/>
        <v>0</v>
      </c>
      <c r="BR48" s="75">
        <f t="shared" si="57"/>
        <v>0</v>
      </c>
      <c r="BS48" s="75">
        <f t="shared" si="58"/>
        <v>0</v>
      </c>
      <c r="BT48" s="75">
        <f t="shared" si="59"/>
        <v>0</v>
      </c>
      <c r="BU48" s="75">
        <f t="shared" si="60"/>
        <v>0</v>
      </c>
      <c r="BV48" s="75">
        <f t="shared" si="61"/>
        <v>0</v>
      </c>
      <c r="BW48" s="75">
        <f t="shared" si="62"/>
        <v>0</v>
      </c>
      <c r="BX48" s="75"/>
      <c r="BY48" s="75"/>
      <c r="BZ48" s="75">
        <f t="shared" si="63"/>
        <v>0</v>
      </c>
      <c r="CA48" s="25">
        <f t="shared" si="80"/>
        <v>0.64322614782372523</v>
      </c>
      <c r="CB48" s="75">
        <f t="shared" si="64"/>
        <v>395507537</v>
      </c>
      <c r="CC48" s="75"/>
      <c r="CD48" s="75">
        <f>+'[1]AGOSTO 2015'!$H$1429+'[1]AGOSTO 2015'!$H$1430</f>
        <v>4881000</v>
      </c>
      <c r="CE48" s="75"/>
      <c r="CF48" s="75"/>
      <c r="CG48" s="75"/>
      <c r="CH48" s="75">
        <f>+'[1]AGOSTO 2015'!$H$1534</f>
        <v>74129574</v>
      </c>
      <c r="CI48" s="75">
        <f>+'[1]AGOSTO 2015'!$H$1562</f>
        <v>3433995</v>
      </c>
      <c r="CJ48" s="75">
        <f>+'[6]JUNIO 2015'!$H$1093</f>
        <v>102810569</v>
      </c>
      <c r="CK48" s="75">
        <f>+'[1]AGOSTO 2015'!$H$1481</f>
        <v>127534316</v>
      </c>
      <c r="CL48" s="75"/>
      <c r="CM48" s="75"/>
      <c r="CN48" s="75"/>
      <c r="CO48" s="75"/>
      <c r="CP48" s="75"/>
      <c r="CQ48" s="75">
        <f>+'[1]AGOSTO 2015'!$H$1432</f>
        <v>82718083</v>
      </c>
      <c r="CR48" s="75"/>
      <c r="CS48" s="75"/>
      <c r="CT48" s="75"/>
      <c r="CU48" s="75"/>
      <c r="CV48" s="75"/>
      <c r="CW48" s="25">
        <f t="shared" si="81"/>
        <v>0.35677385217627477</v>
      </c>
      <c r="CX48" s="75">
        <f t="shared" si="65"/>
        <v>219373463</v>
      </c>
      <c r="CY48" s="75"/>
      <c r="CZ48" s="75">
        <f t="shared" si="88"/>
        <v>0</v>
      </c>
      <c r="DA48" s="75">
        <f t="shared" si="88"/>
        <v>0</v>
      </c>
      <c r="DB48" s="75">
        <f t="shared" si="86"/>
        <v>0</v>
      </c>
      <c r="DC48" s="75"/>
      <c r="DD48" s="75">
        <f t="shared" si="67"/>
        <v>15870426</v>
      </c>
      <c r="DE48" s="75">
        <f t="shared" si="68"/>
        <v>11566005</v>
      </c>
      <c r="DF48" s="75">
        <f>U48-CJ48</f>
        <v>0</v>
      </c>
      <c r="DG48" s="75">
        <f t="shared" si="69"/>
        <v>91937032</v>
      </c>
      <c r="DH48" s="75">
        <f t="shared" si="70"/>
        <v>0</v>
      </c>
      <c r="DI48" s="75"/>
      <c r="DJ48" s="75">
        <f t="shared" si="71"/>
        <v>0</v>
      </c>
      <c r="DK48" s="75">
        <f t="shared" si="72"/>
        <v>0</v>
      </c>
      <c r="DL48" s="75">
        <f t="shared" si="73"/>
        <v>10000000</v>
      </c>
      <c r="DM48" s="75">
        <f t="shared" si="74"/>
        <v>40000000</v>
      </c>
      <c r="DN48" s="75">
        <f t="shared" si="75"/>
        <v>50000000</v>
      </c>
      <c r="DO48" s="75">
        <f t="shared" si="76"/>
        <v>0</v>
      </c>
      <c r="DP48" s="75">
        <f t="shared" si="77"/>
        <v>0</v>
      </c>
      <c r="DQ48" s="75"/>
      <c r="DR48" s="75">
        <f t="shared" si="78"/>
        <v>0</v>
      </c>
    </row>
    <row r="49" spans="1:123" ht="37.5" customHeight="1" x14ac:dyDescent="0.25">
      <c r="A49" s="226"/>
      <c r="B49" s="81"/>
      <c r="C49" s="82" t="s">
        <v>350</v>
      </c>
      <c r="D49" s="81" t="s">
        <v>349</v>
      </c>
      <c r="E49" s="97">
        <v>410</v>
      </c>
      <c r="F49" s="78" t="s">
        <v>214</v>
      </c>
      <c r="G49" s="228"/>
      <c r="H49" s="79">
        <f t="shared" si="47"/>
        <v>18550000</v>
      </c>
      <c r="I49" s="79">
        <f t="shared" si="48"/>
        <v>1450000</v>
      </c>
      <c r="J49" s="78"/>
      <c r="K49" s="78"/>
      <c r="L49" s="78"/>
      <c r="M49" s="75">
        <f t="shared" si="49"/>
        <v>20000000</v>
      </c>
      <c r="N49" s="45"/>
      <c r="O49" s="75">
        <f>20000000-18055657-1450000</f>
        <v>494343</v>
      </c>
      <c r="P49" s="75">
        <v>18055657</v>
      </c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>
        <v>1450000</v>
      </c>
      <c r="AD49" s="75"/>
      <c r="AE49" s="75"/>
      <c r="AF49" s="75"/>
      <c r="AG49" s="75"/>
      <c r="AI49" s="25">
        <f t="shared" si="79"/>
        <v>1</v>
      </c>
      <c r="AJ49" s="75">
        <f t="shared" si="50"/>
        <v>20000000</v>
      </c>
      <c r="AK49" s="75"/>
      <c r="AL49" s="75">
        <v>494343</v>
      </c>
      <c r="AM49" s="75">
        <v>18055657</v>
      </c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>
        <f>+'[2]JULIO 2015'!$Y$1386</f>
        <v>1450000</v>
      </c>
      <c r="BA49" s="75"/>
      <c r="BB49" s="75"/>
      <c r="BC49" s="75"/>
      <c r="BD49" s="75"/>
      <c r="BE49" s="25">
        <f t="shared" si="41"/>
        <v>0</v>
      </c>
      <c r="BF49" s="75">
        <f t="shared" si="51"/>
        <v>0</v>
      </c>
      <c r="BG49" s="75">
        <f t="shared" si="52"/>
        <v>0</v>
      </c>
      <c r="BH49" s="75">
        <f t="shared" si="87"/>
        <v>0</v>
      </c>
      <c r="BI49" s="75">
        <f t="shared" si="82"/>
        <v>0</v>
      </c>
      <c r="BJ49" s="75">
        <f t="shared" si="83"/>
        <v>0</v>
      </c>
      <c r="BK49" s="75"/>
      <c r="BL49" s="75">
        <f t="shared" si="54"/>
        <v>0</v>
      </c>
      <c r="BM49" s="75">
        <f t="shared" si="55"/>
        <v>0</v>
      </c>
      <c r="BN49" s="75"/>
      <c r="BO49" s="75"/>
      <c r="BP49" s="75">
        <f>+W49-AT49</f>
        <v>0</v>
      </c>
      <c r="BQ49" s="75"/>
      <c r="BR49" s="75">
        <f t="shared" si="57"/>
        <v>0</v>
      </c>
      <c r="BS49" s="75">
        <f t="shared" si="58"/>
        <v>0</v>
      </c>
      <c r="BT49" s="75">
        <f t="shared" si="59"/>
        <v>0</v>
      </c>
      <c r="BU49" s="75">
        <f t="shared" si="60"/>
        <v>0</v>
      </c>
      <c r="BV49" s="75">
        <f t="shared" si="61"/>
        <v>0</v>
      </c>
      <c r="BW49" s="75">
        <f t="shared" si="62"/>
        <v>0</v>
      </c>
      <c r="BX49" s="75"/>
      <c r="BY49" s="75"/>
      <c r="BZ49" s="75">
        <f t="shared" si="63"/>
        <v>0</v>
      </c>
      <c r="CA49" s="25">
        <f t="shared" si="80"/>
        <v>0.92749999999999999</v>
      </c>
      <c r="CB49" s="75">
        <f t="shared" si="64"/>
        <v>18550000</v>
      </c>
      <c r="CC49" s="75"/>
      <c r="CD49" s="75">
        <f>20000000-18055657-1450000</f>
        <v>494343</v>
      </c>
      <c r="CE49" s="75">
        <v>18055657</v>
      </c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  <c r="CR49" s="75"/>
      <c r="CS49" s="75"/>
      <c r="CT49" s="75"/>
      <c r="CU49" s="75"/>
      <c r="CV49" s="75"/>
      <c r="CW49" s="25">
        <f t="shared" si="81"/>
        <v>7.2500000000000009E-2</v>
      </c>
      <c r="CX49" s="75">
        <f t="shared" si="65"/>
        <v>1450000</v>
      </c>
      <c r="CY49" s="75"/>
      <c r="CZ49" s="75">
        <f t="shared" si="88"/>
        <v>0</v>
      </c>
      <c r="DA49" s="75">
        <f t="shared" si="88"/>
        <v>0</v>
      </c>
      <c r="DB49" s="75">
        <f t="shared" si="86"/>
        <v>0</v>
      </c>
      <c r="DC49" s="75"/>
      <c r="DD49" s="75">
        <f t="shared" si="67"/>
        <v>0</v>
      </c>
      <c r="DE49" s="75">
        <f t="shared" si="68"/>
        <v>0</v>
      </c>
      <c r="DF49" s="75"/>
      <c r="DG49" s="75">
        <f t="shared" si="69"/>
        <v>0</v>
      </c>
      <c r="DH49" s="75">
        <f t="shared" si="70"/>
        <v>0</v>
      </c>
      <c r="DI49" s="75"/>
      <c r="DJ49" s="75">
        <f t="shared" si="71"/>
        <v>0</v>
      </c>
      <c r="DK49" s="75">
        <f t="shared" si="72"/>
        <v>0</v>
      </c>
      <c r="DL49" s="75">
        <f t="shared" si="73"/>
        <v>0</v>
      </c>
      <c r="DM49" s="75">
        <f t="shared" si="74"/>
        <v>0</v>
      </c>
      <c r="DN49" s="75">
        <f t="shared" si="75"/>
        <v>1450000</v>
      </c>
      <c r="DO49" s="75">
        <f t="shared" si="76"/>
        <v>0</v>
      </c>
      <c r="DP49" s="75">
        <f t="shared" si="77"/>
        <v>0</v>
      </c>
      <c r="DQ49" s="75"/>
      <c r="DR49" s="75">
        <f t="shared" si="78"/>
        <v>0</v>
      </c>
    </row>
    <row r="50" spans="1:123" ht="44.25" customHeight="1" x14ac:dyDescent="0.25">
      <c r="A50" s="226"/>
      <c r="B50" s="81"/>
      <c r="C50" s="82" t="s">
        <v>348</v>
      </c>
      <c r="D50" s="81" t="s">
        <v>347</v>
      </c>
      <c r="E50" s="97">
        <v>410</v>
      </c>
      <c r="F50" s="78" t="s">
        <v>346</v>
      </c>
      <c r="G50" s="228"/>
      <c r="H50" s="79">
        <f t="shared" si="47"/>
        <v>6594500</v>
      </c>
      <c r="I50" s="79">
        <f t="shared" si="48"/>
        <v>24905500</v>
      </c>
      <c r="J50" s="78" t="s">
        <v>344</v>
      </c>
      <c r="K50" s="78" t="s">
        <v>345</v>
      </c>
      <c r="L50" s="78" t="s">
        <v>344</v>
      </c>
      <c r="M50" s="75">
        <f t="shared" si="49"/>
        <v>31500000</v>
      </c>
      <c r="N50" s="4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>
        <f>14000000-10000000</f>
        <v>4000000</v>
      </c>
      <c r="AC50" s="75"/>
      <c r="AD50" s="75"/>
      <c r="AE50" s="75"/>
      <c r="AF50" s="75"/>
      <c r="AG50" s="75">
        <f>5000000+2500000+5000000+15000000</f>
        <v>27500000</v>
      </c>
      <c r="AI50" s="25">
        <f t="shared" si="79"/>
        <v>0.36507936507936506</v>
      </c>
      <c r="AJ50" s="75">
        <f t="shared" si="50"/>
        <v>11500000</v>
      </c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>
        <v>4000000</v>
      </c>
      <c r="AZ50" s="75"/>
      <c r="BA50" s="75"/>
      <c r="BB50" s="75"/>
      <c r="BC50" s="75"/>
      <c r="BD50" s="75">
        <f>+'[8]FEBRERO 2015'!$AC$565</f>
        <v>7500000</v>
      </c>
      <c r="BE50" s="25">
        <f t="shared" si="41"/>
        <v>0.63492063492063489</v>
      </c>
      <c r="BF50" s="75">
        <f t="shared" si="51"/>
        <v>20000000</v>
      </c>
      <c r="BG50" s="75">
        <f t="shared" si="52"/>
        <v>0</v>
      </c>
      <c r="BH50" s="75">
        <f t="shared" si="87"/>
        <v>0</v>
      </c>
      <c r="BI50" s="75">
        <f t="shared" si="82"/>
        <v>0</v>
      </c>
      <c r="BJ50" s="75">
        <f t="shared" si="83"/>
        <v>0</v>
      </c>
      <c r="BK50" s="75"/>
      <c r="BL50" s="75">
        <f t="shared" si="54"/>
        <v>0</v>
      </c>
      <c r="BM50" s="75">
        <f t="shared" si="55"/>
        <v>0</v>
      </c>
      <c r="BN50" s="75"/>
      <c r="BO50" s="75"/>
      <c r="BP50" s="75">
        <f>+W50-AT50</f>
        <v>0</v>
      </c>
      <c r="BQ50" s="75"/>
      <c r="BR50" s="75">
        <f t="shared" si="57"/>
        <v>0</v>
      </c>
      <c r="BS50" s="75">
        <f t="shared" si="58"/>
        <v>0</v>
      </c>
      <c r="BT50" s="75">
        <f t="shared" si="59"/>
        <v>0</v>
      </c>
      <c r="BU50" s="75">
        <f t="shared" si="60"/>
        <v>0</v>
      </c>
      <c r="BV50" s="75">
        <f t="shared" si="61"/>
        <v>0</v>
      </c>
      <c r="BW50" s="75">
        <f t="shared" si="62"/>
        <v>0</v>
      </c>
      <c r="BX50" s="75"/>
      <c r="BY50" s="75"/>
      <c r="BZ50" s="75">
        <f t="shared" si="63"/>
        <v>20000000</v>
      </c>
      <c r="CA50" s="25">
        <f t="shared" si="80"/>
        <v>0.20934920634920634</v>
      </c>
      <c r="CB50" s="75">
        <f t="shared" si="64"/>
        <v>6594500</v>
      </c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>
        <f>+'[2]JULIO 2015'!$H$1401</f>
        <v>4000000</v>
      </c>
      <c r="CR50" s="75"/>
      <c r="CS50" s="75"/>
      <c r="CT50" s="75"/>
      <c r="CU50" s="75"/>
      <c r="CV50" s="75">
        <f>+'[6]JUNIO 2015'!$H$1171</f>
        <v>2594500</v>
      </c>
      <c r="CW50" s="25">
        <f t="shared" si="81"/>
        <v>0.7906507936507936</v>
      </c>
      <c r="CX50" s="75">
        <f t="shared" si="65"/>
        <v>24905500</v>
      </c>
      <c r="CY50" s="75"/>
      <c r="CZ50" s="75"/>
      <c r="DA50" s="75"/>
      <c r="DB50" s="75">
        <f t="shared" si="86"/>
        <v>0</v>
      </c>
      <c r="DC50" s="75"/>
      <c r="DD50" s="75">
        <f t="shared" si="67"/>
        <v>0</v>
      </c>
      <c r="DE50" s="75">
        <f t="shared" si="68"/>
        <v>0</v>
      </c>
      <c r="DF50" s="75"/>
      <c r="DG50" s="75">
        <f t="shared" si="69"/>
        <v>0</v>
      </c>
      <c r="DH50" s="75">
        <f t="shared" si="70"/>
        <v>0</v>
      </c>
      <c r="DI50" s="75"/>
      <c r="DJ50" s="75">
        <f t="shared" si="71"/>
        <v>0</v>
      </c>
      <c r="DK50" s="75">
        <f t="shared" si="72"/>
        <v>0</v>
      </c>
      <c r="DL50" s="75">
        <f t="shared" si="73"/>
        <v>0</v>
      </c>
      <c r="DM50" s="75">
        <f t="shared" si="74"/>
        <v>0</v>
      </c>
      <c r="DN50" s="75">
        <f t="shared" si="75"/>
        <v>0</v>
      </c>
      <c r="DO50" s="75">
        <f t="shared" si="76"/>
        <v>0</v>
      </c>
      <c r="DP50" s="75">
        <f t="shared" si="77"/>
        <v>0</v>
      </c>
      <c r="DQ50" s="75"/>
      <c r="DR50" s="75">
        <f t="shared" si="78"/>
        <v>24905500</v>
      </c>
    </row>
    <row r="51" spans="1:123" ht="33" customHeight="1" x14ac:dyDescent="0.25">
      <c r="A51" s="226"/>
      <c r="B51" s="81"/>
      <c r="C51" s="82" t="s">
        <v>343</v>
      </c>
      <c r="D51" s="81" t="s">
        <v>342</v>
      </c>
      <c r="E51" s="97">
        <v>410</v>
      </c>
      <c r="F51" s="78" t="s">
        <v>267</v>
      </c>
      <c r="G51" s="228"/>
      <c r="H51" s="79">
        <f t="shared" si="47"/>
        <v>0</v>
      </c>
      <c r="I51" s="79">
        <f t="shared" si="48"/>
        <v>7000000</v>
      </c>
      <c r="J51" s="78"/>
      <c r="K51" s="78"/>
      <c r="L51" s="78"/>
      <c r="M51" s="75">
        <f t="shared" si="49"/>
        <v>7000000</v>
      </c>
      <c r="N51" s="4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>
        <f>2000000+5000000</f>
        <v>7000000</v>
      </c>
      <c r="AI51" s="25">
        <f t="shared" si="79"/>
        <v>0.2857142857142857</v>
      </c>
      <c r="AJ51" s="75">
        <f t="shared" si="50"/>
        <v>2000000</v>
      </c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>
        <f>+'[8]FEBRERO 2015'!$AC$571</f>
        <v>2000000</v>
      </c>
      <c r="BE51" s="25">
        <f t="shared" si="41"/>
        <v>0.7142857142857143</v>
      </c>
      <c r="BF51" s="75">
        <f t="shared" si="51"/>
        <v>5000000</v>
      </c>
      <c r="BG51" s="75">
        <f t="shared" si="52"/>
        <v>0</v>
      </c>
      <c r="BH51" s="75">
        <f t="shared" si="87"/>
        <v>0</v>
      </c>
      <c r="BI51" s="75">
        <f t="shared" si="82"/>
        <v>0</v>
      </c>
      <c r="BJ51" s="75">
        <f t="shared" si="83"/>
        <v>0</v>
      </c>
      <c r="BK51" s="75"/>
      <c r="BL51" s="75">
        <f t="shared" si="54"/>
        <v>0</v>
      </c>
      <c r="BM51" s="75">
        <f t="shared" si="55"/>
        <v>0</v>
      </c>
      <c r="BN51" s="75"/>
      <c r="BO51" s="75"/>
      <c r="BP51" s="75">
        <f>+W51-AT51</f>
        <v>0</v>
      </c>
      <c r="BQ51" s="75"/>
      <c r="BR51" s="75">
        <f t="shared" si="57"/>
        <v>0</v>
      </c>
      <c r="BS51" s="75">
        <f t="shared" si="58"/>
        <v>0</v>
      </c>
      <c r="BT51" s="75">
        <f t="shared" si="59"/>
        <v>0</v>
      </c>
      <c r="BU51" s="75">
        <f t="shared" si="60"/>
        <v>0</v>
      </c>
      <c r="BV51" s="75">
        <f t="shared" si="61"/>
        <v>0</v>
      </c>
      <c r="BW51" s="75">
        <f t="shared" si="62"/>
        <v>0</v>
      </c>
      <c r="BX51" s="75"/>
      <c r="BY51" s="75"/>
      <c r="BZ51" s="75">
        <f t="shared" si="63"/>
        <v>5000000</v>
      </c>
      <c r="CA51" s="25">
        <f t="shared" si="80"/>
        <v>0</v>
      </c>
      <c r="CB51" s="75">
        <f t="shared" si="64"/>
        <v>0</v>
      </c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  <c r="CR51" s="75"/>
      <c r="CS51" s="75"/>
      <c r="CT51" s="75"/>
      <c r="CU51" s="75"/>
      <c r="CV51" s="75"/>
      <c r="CW51" s="25">
        <f t="shared" si="81"/>
        <v>1</v>
      </c>
      <c r="CX51" s="75">
        <f t="shared" si="65"/>
        <v>7000000</v>
      </c>
      <c r="CY51" s="75"/>
      <c r="CZ51" s="75"/>
      <c r="DA51" s="75"/>
      <c r="DB51" s="75">
        <f t="shared" si="86"/>
        <v>0</v>
      </c>
      <c r="DC51" s="75"/>
      <c r="DD51" s="75">
        <f t="shared" si="67"/>
        <v>0</v>
      </c>
      <c r="DE51" s="75">
        <f t="shared" si="68"/>
        <v>0</v>
      </c>
      <c r="DF51" s="75"/>
      <c r="DG51" s="75">
        <f t="shared" si="69"/>
        <v>0</v>
      </c>
      <c r="DH51" s="75">
        <f t="shared" si="70"/>
        <v>0</v>
      </c>
      <c r="DI51" s="75"/>
      <c r="DJ51" s="75">
        <f t="shared" si="71"/>
        <v>0</v>
      </c>
      <c r="DK51" s="75">
        <f t="shared" si="72"/>
        <v>0</v>
      </c>
      <c r="DL51" s="75">
        <f t="shared" si="73"/>
        <v>0</v>
      </c>
      <c r="DM51" s="75">
        <f t="shared" si="74"/>
        <v>0</v>
      </c>
      <c r="DN51" s="75">
        <f t="shared" si="75"/>
        <v>0</v>
      </c>
      <c r="DO51" s="75">
        <f t="shared" si="76"/>
        <v>0</v>
      </c>
      <c r="DP51" s="75">
        <f t="shared" si="77"/>
        <v>0</v>
      </c>
      <c r="DQ51" s="75"/>
      <c r="DR51" s="75">
        <f t="shared" si="78"/>
        <v>7000000</v>
      </c>
    </row>
    <row r="52" spans="1:123" ht="21.75" customHeight="1" x14ac:dyDescent="0.25">
      <c r="A52" s="226"/>
      <c r="B52" s="81"/>
      <c r="C52" s="82" t="s">
        <v>341</v>
      </c>
      <c r="D52" s="81" t="s">
        <v>340</v>
      </c>
      <c r="E52" s="97">
        <v>410</v>
      </c>
      <c r="F52" s="78" t="s">
        <v>214</v>
      </c>
      <c r="G52" s="229"/>
      <c r="H52" s="79">
        <f t="shared" si="47"/>
        <v>477702868</v>
      </c>
      <c r="I52" s="79">
        <f t="shared" si="48"/>
        <v>222297132</v>
      </c>
      <c r="J52" s="78"/>
      <c r="K52" s="78"/>
      <c r="L52" s="78"/>
      <c r="M52" s="75">
        <f t="shared" si="49"/>
        <v>700000000</v>
      </c>
      <c r="N52" s="4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>
        <v>700000000</v>
      </c>
      <c r="AA52" s="75"/>
      <c r="AB52" s="75"/>
      <c r="AC52" s="75"/>
      <c r="AD52" s="75"/>
      <c r="AE52" s="75"/>
      <c r="AF52" s="75"/>
      <c r="AG52" s="75"/>
      <c r="AI52" s="25">
        <f t="shared" si="79"/>
        <v>0.87039913571428573</v>
      </c>
      <c r="AJ52" s="75">
        <f t="shared" si="50"/>
        <v>609279395</v>
      </c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>
        <v>609279395</v>
      </c>
      <c r="AX52" s="75"/>
      <c r="AY52" s="75"/>
      <c r="AZ52" s="75"/>
      <c r="BA52" s="75"/>
      <c r="BB52" s="75"/>
      <c r="BC52" s="75"/>
      <c r="BD52" s="75"/>
      <c r="BE52" s="25">
        <f t="shared" si="41"/>
        <v>0.12960086428571427</v>
      </c>
      <c r="BF52" s="75">
        <f t="shared" si="51"/>
        <v>90720605</v>
      </c>
      <c r="BG52" s="75">
        <f t="shared" si="52"/>
        <v>0</v>
      </c>
      <c r="BH52" s="75">
        <f t="shared" si="87"/>
        <v>0</v>
      </c>
      <c r="BI52" s="75">
        <f t="shared" si="82"/>
        <v>0</v>
      </c>
      <c r="BJ52" s="75">
        <f t="shared" si="83"/>
        <v>0</v>
      </c>
      <c r="BK52" s="75"/>
      <c r="BL52" s="75">
        <f t="shared" si="54"/>
        <v>0</v>
      </c>
      <c r="BM52" s="75">
        <f t="shared" si="55"/>
        <v>0</v>
      </c>
      <c r="BN52" s="75"/>
      <c r="BO52" s="75">
        <f>+V52-AS52</f>
        <v>0</v>
      </c>
      <c r="BP52" s="75">
        <f>+W52-AT52</f>
        <v>0</v>
      </c>
      <c r="BQ52" s="75">
        <f>+X52-AU52</f>
        <v>0</v>
      </c>
      <c r="BR52" s="75">
        <f t="shared" si="57"/>
        <v>0</v>
      </c>
      <c r="BS52" s="75">
        <f t="shared" si="58"/>
        <v>90720605</v>
      </c>
      <c r="BT52" s="75">
        <f t="shared" si="59"/>
        <v>0</v>
      </c>
      <c r="BU52" s="75">
        <f t="shared" si="60"/>
        <v>0</v>
      </c>
      <c r="BV52" s="75">
        <f t="shared" si="61"/>
        <v>0</v>
      </c>
      <c r="BW52" s="75">
        <f t="shared" si="62"/>
        <v>0</v>
      </c>
      <c r="BX52" s="75"/>
      <c r="BY52" s="75"/>
      <c r="BZ52" s="75">
        <f t="shared" si="63"/>
        <v>0</v>
      </c>
      <c r="CA52" s="25">
        <f t="shared" si="80"/>
        <v>0.68243266857142859</v>
      </c>
      <c r="CB52" s="75">
        <f t="shared" si="64"/>
        <v>477702868</v>
      </c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>
        <f>+'[1]AGOSTO 2015'!$H$1591</f>
        <v>477702868</v>
      </c>
      <c r="CP52" s="75"/>
      <c r="CQ52" s="75"/>
      <c r="CR52" s="75"/>
      <c r="CS52" s="75"/>
      <c r="CT52" s="75"/>
      <c r="CU52" s="75"/>
      <c r="CV52" s="75"/>
      <c r="CW52" s="25">
        <f t="shared" si="81"/>
        <v>0.31756733142857141</v>
      </c>
      <c r="CX52" s="75">
        <f t="shared" si="65"/>
        <v>222297132</v>
      </c>
      <c r="CY52" s="75"/>
      <c r="CZ52" s="75"/>
      <c r="DA52" s="75"/>
      <c r="DB52" s="75">
        <f t="shared" si="86"/>
        <v>0</v>
      </c>
      <c r="DC52" s="75"/>
      <c r="DD52" s="75">
        <f t="shared" si="67"/>
        <v>0</v>
      </c>
      <c r="DE52" s="75">
        <f t="shared" si="68"/>
        <v>0</v>
      </c>
      <c r="DF52" s="75"/>
      <c r="DG52" s="75">
        <f t="shared" si="69"/>
        <v>0</v>
      </c>
      <c r="DH52" s="75">
        <f t="shared" si="70"/>
        <v>0</v>
      </c>
      <c r="DI52" s="75"/>
      <c r="DJ52" s="75">
        <f t="shared" si="71"/>
        <v>0</v>
      </c>
      <c r="DK52" s="75">
        <f t="shared" si="72"/>
        <v>222297132</v>
      </c>
      <c r="DL52" s="75">
        <f t="shared" si="73"/>
        <v>0</v>
      </c>
      <c r="DM52" s="75">
        <f t="shared" si="74"/>
        <v>0</v>
      </c>
      <c r="DN52" s="75">
        <f t="shared" si="75"/>
        <v>0</v>
      </c>
      <c r="DO52" s="75">
        <f t="shared" si="76"/>
        <v>0</v>
      </c>
      <c r="DP52" s="75">
        <f t="shared" si="77"/>
        <v>0</v>
      </c>
      <c r="DQ52" s="75"/>
      <c r="DR52" s="75">
        <f t="shared" si="78"/>
        <v>0</v>
      </c>
    </row>
    <row r="53" spans="1:123" ht="49.5" customHeight="1" x14ac:dyDescent="0.25">
      <c r="A53" s="226"/>
      <c r="B53" s="81" t="s">
        <v>339</v>
      </c>
      <c r="C53" s="82" t="s">
        <v>338</v>
      </c>
      <c r="D53" s="81" t="s">
        <v>337</v>
      </c>
      <c r="E53" s="97">
        <v>410</v>
      </c>
      <c r="F53" s="78" t="s">
        <v>297</v>
      </c>
      <c r="G53" s="227">
        <v>1104000000</v>
      </c>
      <c r="H53" s="79">
        <f t="shared" si="47"/>
        <v>237292</v>
      </c>
      <c r="I53" s="79">
        <f t="shared" si="48"/>
        <v>5762708</v>
      </c>
      <c r="J53" s="78"/>
      <c r="K53" s="78"/>
      <c r="L53" s="78"/>
      <c r="M53" s="75">
        <f t="shared" si="49"/>
        <v>6000000</v>
      </c>
      <c r="N53" s="4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>
        <f>4000000+2000000</f>
        <v>6000000</v>
      </c>
      <c r="AI53" s="25">
        <f t="shared" si="79"/>
        <v>1</v>
      </c>
      <c r="AJ53" s="75">
        <f t="shared" si="50"/>
        <v>6000000</v>
      </c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>
        <f>+'[2]JULIO 2015'!$AD$1462</f>
        <v>6000000</v>
      </c>
      <c r="BE53" s="25">
        <f t="shared" si="41"/>
        <v>0</v>
      </c>
      <c r="BF53" s="75">
        <f t="shared" si="51"/>
        <v>0</v>
      </c>
      <c r="BG53" s="75">
        <f t="shared" si="52"/>
        <v>0</v>
      </c>
      <c r="BH53" s="75">
        <f t="shared" si="87"/>
        <v>0</v>
      </c>
      <c r="BI53" s="75">
        <f t="shared" si="82"/>
        <v>0</v>
      </c>
      <c r="BJ53" s="75">
        <f t="shared" si="83"/>
        <v>0</v>
      </c>
      <c r="BK53" s="75"/>
      <c r="BL53" s="75">
        <f t="shared" si="54"/>
        <v>0</v>
      </c>
      <c r="BM53" s="75">
        <f t="shared" si="55"/>
        <v>0</v>
      </c>
      <c r="BN53" s="75"/>
      <c r="BO53" s="75">
        <f>+V53-AT53</f>
        <v>0</v>
      </c>
      <c r="BP53" s="75">
        <f>+W53-AT53</f>
        <v>0</v>
      </c>
      <c r="BQ53" s="75">
        <f>+X53-AU53</f>
        <v>0</v>
      </c>
      <c r="BR53" s="75">
        <f t="shared" si="57"/>
        <v>0</v>
      </c>
      <c r="BS53" s="75">
        <f t="shared" si="58"/>
        <v>0</v>
      </c>
      <c r="BT53" s="75">
        <f t="shared" si="59"/>
        <v>0</v>
      </c>
      <c r="BU53" s="75">
        <f t="shared" si="60"/>
        <v>0</v>
      </c>
      <c r="BV53" s="75">
        <f t="shared" si="61"/>
        <v>0</v>
      </c>
      <c r="BW53" s="75">
        <f t="shared" si="62"/>
        <v>0</v>
      </c>
      <c r="BX53" s="75">
        <f>+AE53-BB53</f>
        <v>0</v>
      </c>
      <c r="BY53" s="75">
        <f>+AF53-BC53</f>
        <v>0</v>
      </c>
      <c r="BZ53" s="75">
        <f t="shared" si="63"/>
        <v>0</v>
      </c>
      <c r="CA53" s="25">
        <f t="shared" si="80"/>
        <v>3.9548666666666669E-2</v>
      </c>
      <c r="CB53" s="75">
        <f t="shared" si="64"/>
        <v>237292</v>
      </c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>
        <f>+'[1]AGOSTO 2015'!$H$1644</f>
        <v>237292</v>
      </c>
      <c r="CW53" s="25">
        <f t="shared" si="81"/>
        <v>0.96045133333333332</v>
      </c>
      <c r="CX53" s="75">
        <f t="shared" si="65"/>
        <v>5762708</v>
      </c>
      <c r="CY53" s="75"/>
      <c r="CZ53" s="75"/>
      <c r="DA53" s="75"/>
      <c r="DB53" s="75">
        <f t="shared" si="86"/>
        <v>0</v>
      </c>
      <c r="DC53" s="75"/>
      <c r="DD53" s="75">
        <f t="shared" si="67"/>
        <v>0</v>
      </c>
      <c r="DE53" s="75">
        <f t="shared" si="68"/>
        <v>0</v>
      </c>
      <c r="DF53" s="75"/>
      <c r="DG53" s="75">
        <f t="shared" si="69"/>
        <v>0</v>
      </c>
      <c r="DH53" s="75">
        <f t="shared" si="70"/>
        <v>0</v>
      </c>
      <c r="DI53" s="75"/>
      <c r="DJ53" s="75">
        <f t="shared" si="71"/>
        <v>0</v>
      </c>
      <c r="DK53" s="75">
        <f t="shared" si="72"/>
        <v>0</v>
      </c>
      <c r="DL53" s="75">
        <f t="shared" si="73"/>
        <v>0</v>
      </c>
      <c r="DM53" s="75">
        <f t="shared" si="74"/>
        <v>0</v>
      </c>
      <c r="DN53" s="75">
        <f t="shared" si="75"/>
        <v>0</v>
      </c>
      <c r="DO53" s="75">
        <f t="shared" si="76"/>
        <v>0</v>
      </c>
      <c r="DP53" s="75">
        <f t="shared" si="77"/>
        <v>0</v>
      </c>
      <c r="DQ53" s="75"/>
      <c r="DR53" s="75">
        <f t="shared" si="78"/>
        <v>5762708</v>
      </c>
    </row>
    <row r="54" spans="1:123" ht="32.25" customHeight="1" x14ac:dyDescent="0.25">
      <c r="A54" s="226"/>
      <c r="B54" s="81"/>
      <c r="C54" s="82" t="s">
        <v>336</v>
      </c>
      <c r="D54" s="81" t="s">
        <v>335</v>
      </c>
      <c r="E54" s="97">
        <v>410</v>
      </c>
      <c r="F54" s="78" t="s">
        <v>214</v>
      </c>
      <c r="G54" s="228"/>
      <c r="H54" s="79">
        <f t="shared" si="47"/>
        <v>68304224</v>
      </c>
      <c r="I54" s="79">
        <f t="shared" si="48"/>
        <v>49135813</v>
      </c>
      <c r="J54" s="78"/>
      <c r="K54" s="78"/>
      <c r="L54" s="78"/>
      <c r="M54" s="75">
        <f t="shared" si="49"/>
        <v>117440037</v>
      </c>
      <c r="N54" s="45"/>
      <c r="O54" s="75">
        <f>400000000-352559963</f>
        <v>47440037</v>
      </c>
      <c r="P54" s="75"/>
      <c r="Q54" s="75"/>
      <c r="R54" s="75"/>
      <c r="S54" s="75">
        <v>50000000</v>
      </c>
      <c r="T54" s="75"/>
      <c r="U54" s="75"/>
      <c r="V54" s="75"/>
      <c r="W54" s="75"/>
      <c r="X54" s="75"/>
      <c r="Y54" s="75"/>
      <c r="Z54" s="75"/>
      <c r="AA54" s="75"/>
      <c r="AB54" s="75"/>
      <c r="AC54" s="75">
        <v>20000000</v>
      </c>
      <c r="AD54" s="75"/>
      <c r="AE54" s="75"/>
      <c r="AF54" s="75"/>
      <c r="AG54" s="75"/>
      <c r="AI54" s="25">
        <f t="shared" si="79"/>
        <v>1</v>
      </c>
      <c r="AJ54" s="75">
        <f t="shared" si="50"/>
        <v>117440037</v>
      </c>
      <c r="AK54" s="75"/>
      <c r="AL54" s="75">
        <f>+'[6]JUNIO 2015'!$K$1243</f>
        <v>47440037</v>
      </c>
      <c r="AM54" s="75"/>
      <c r="AN54" s="75"/>
      <c r="AO54" s="75"/>
      <c r="AP54" s="75">
        <f>+'[6]JUNIO 2015'!$O$1243</f>
        <v>50000000</v>
      </c>
      <c r="AQ54" s="75"/>
      <c r="AR54" s="75"/>
      <c r="AS54" s="75"/>
      <c r="AT54" s="75"/>
      <c r="AU54" s="75"/>
      <c r="AV54" s="75"/>
      <c r="AW54" s="75"/>
      <c r="AX54" s="75"/>
      <c r="AY54" s="75"/>
      <c r="AZ54" s="75">
        <f>+'[2]JULIO 2015'!$Y$1469</f>
        <v>20000000</v>
      </c>
      <c r="BA54" s="75"/>
      <c r="BB54" s="75"/>
      <c r="BC54" s="75"/>
      <c r="BD54" s="75"/>
      <c r="BE54" s="25">
        <f t="shared" si="41"/>
        <v>0</v>
      </c>
      <c r="BF54" s="75">
        <f t="shared" si="51"/>
        <v>0</v>
      </c>
      <c r="BG54" s="75">
        <f t="shared" si="52"/>
        <v>0</v>
      </c>
      <c r="BH54" s="75">
        <f t="shared" si="87"/>
        <v>0</v>
      </c>
      <c r="BI54" s="75">
        <f t="shared" si="82"/>
        <v>0</v>
      </c>
      <c r="BJ54" s="75">
        <f t="shared" si="83"/>
        <v>0</v>
      </c>
      <c r="BK54" s="75"/>
      <c r="BL54" s="75">
        <f t="shared" si="54"/>
        <v>0</v>
      </c>
      <c r="BM54" s="75">
        <f t="shared" si="55"/>
        <v>0</v>
      </c>
      <c r="BN54" s="75"/>
      <c r="BO54" s="75">
        <f>+V54-AT54</f>
        <v>0</v>
      </c>
      <c r="BP54" s="75">
        <f>+W54-AU54</f>
        <v>0</v>
      </c>
      <c r="BQ54" s="75">
        <f>+X54-AV54</f>
        <v>0</v>
      </c>
      <c r="BR54" s="75">
        <f t="shared" si="57"/>
        <v>0</v>
      </c>
      <c r="BS54" s="75">
        <f t="shared" si="58"/>
        <v>0</v>
      </c>
      <c r="BT54" s="75">
        <f t="shared" si="59"/>
        <v>0</v>
      </c>
      <c r="BU54" s="75">
        <f t="shared" si="60"/>
        <v>0</v>
      </c>
      <c r="BV54" s="75">
        <f t="shared" si="61"/>
        <v>0</v>
      </c>
      <c r="BW54" s="75">
        <f t="shared" si="62"/>
        <v>0</v>
      </c>
      <c r="BX54" s="75">
        <f>+AE54-BB54</f>
        <v>0</v>
      </c>
      <c r="BY54" s="75">
        <f>+AF54-BC54</f>
        <v>0</v>
      </c>
      <c r="BZ54" s="75">
        <f t="shared" si="63"/>
        <v>0</v>
      </c>
      <c r="CA54" s="25">
        <f t="shared" si="80"/>
        <v>0.58160935354609944</v>
      </c>
      <c r="CB54" s="75">
        <f t="shared" si="64"/>
        <v>68304224</v>
      </c>
      <c r="CC54" s="75"/>
      <c r="CD54" s="75">
        <f>+'[2]JULIO 2015'!$H$1471+'[2]JULIO 2015'!$H$1473+'[2]JULIO 2015'!$H$1477+'[2]JULIO 2015'!$H$1480+'[2]JULIO 2015'!$H$1485+'[2]JULIO 2015'!$H$1490+'[2]JULIO 2015'!$H$1493+'[2]JULIO 2015'!$H$1496+'[2]JULIO 2015'!$H$1502+'[2]JULIO 2015'!$H$1504</f>
        <v>47440037</v>
      </c>
      <c r="CE54" s="75"/>
      <c r="CF54" s="75"/>
      <c r="CG54" s="75"/>
      <c r="CH54" s="75">
        <f>+'[2]JULIO 2015'!$H$1506</f>
        <v>14002131</v>
      </c>
      <c r="CI54" s="75"/>
      <c r="CJ54" s="75"/>
      <c r="CK54" s="75"/>
      <c r="CL54" s="75"/>
      <c r="CM54" s="75"/>
      <c r="CN54" s="75"/>
      <c r="CO54" s="75"/>
      <c r="CP54" s="75"/>
      <c r="CQ54" s="75"/>
      <c r="CR54" s="75">
        <f>+'[2]JULIO 2015'!$H$1511</f>
        <v>6862056</v>
      </c>
      <c r="CS54" s="75"/>
      <c r="CT54" s="75"/>
      <c r="CU54" s="75"/>
      <c r="CV54" s="75"/>
      <c r="CW54" s="25">
        <f t="shared" si="81"/>
        <v>0.41839064645390056</v>
      </c>
      <c r="CX54" s="75">
        <f t="shared" si="65"/>
        <v>49135813</v>
      </c>
      <c r="CY54" s="75"/>
      <c r="CZ54" s="75">
        <f>O54-CD54</f>
        <v>0</v>
      </c>
      <c r="DA54" s="75">
        <f>P54-CE54</f>
        <v>0</v>
      </c>
      <c r="DB54" s="75">
        <f t="shared" si="86"/>
        <v>0</v>
      </c>
      <c r="DC54" s="75"/>
      <c r="DD54" s="75">
        <f t="shared" si="67"/>
        <v>35997869</v>
      </c>
      <c r="DE54" s="75">
        <f t="shared" si="68"/>
        <v>0</v>
      </c>
      <c r="DF54" s="75"/>
      <c r="DG54" s="75">
        <f t="shared" si="69"/>
        <v>0</v>
      </c>
      <c r="DH54" s="75">
        <f t="shared" si="70"/>
        <v>0</v>
      </c>
      <c r="DI54" s="75"/>
      <c r="DJ54" s="75">
        <f t="shared" si="71"/>
        <v>0</v>
      </c>
      <c r="DK54" s="75">
        <f t="shared" si="72"/>
        <v>0</v>
      </c>
      <c r="DL54" s="75">
        <f t="shared" si="73"/>
        <v>0</v>
      </c>
      <c r="DM54" s="75">
        <f t="shared" si="74"/>
        <v>0</v>
      </c>
      <c r="DN54" s="75">
        <f t="shared" si="75"/>
        <v>13137944</v>
      </c>
      <c r="DO54" s="75">
        <f t="shared" si="76"/>
        <v>0</v>
      </c>
      <c r="DP54" s="75">
        <f t="shared" si="77"/>
        <v>0</v>
      </c>
      <c r="DQ54" s="75"/>
      <c r="DR54" s="75">
        <f t="shared" si="78"/>
        <v>0</v>
      </c>
    </row>
    <row r="55" spans="1:123" ht="20.25" customHeight="1" x14ac:dyDescent="0.25">
      <c r="A55" s="226"/>
      <c r="B55" s="81"/>
      <c r="C55" s="82" t="s">
        <v>334</v>
      </c>
      <c r="D55" s="81" t="s">
        <v>333</v>
      </c>
      <c r="E55" s="97">
        <v>410</v>
      </c>
      <c r="F55" s="78" t="s">
        <v>214</v>
      </c>
      <c r="G55" s="229"/>
      <c r="H55" s="79">
        <f t="shared" si="47"/>
        <v>625958231</v>
      </c>
      <c r="I55" s="79">
        <f t="shared" si="48"/>
        <v>2178055449</v>
      </c>
      <c r="J55" s="78"/>
      <c r="K55" s="78"/>
      <c r="L55" s="78"/>
      <c r="M55" s="75">
        <f t="shared" si="49"/>
        <v>2804013680</v>
      </c>
      <c r="N55" s="4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>
        <f>700000000+2104013680</f>
        <v>2804013680</v>
      </c>
      <c r="AA55" s="75"/>
      <c r="AB55" s="75"/>
      <c r="AC55" s="75"/>
      <c r="AD55" s="75"/>
      <c r="AE55" s="75"/>
      <c r="AF55" s="75"/>
      <c r="AG55" s="75"/>
      <c r="AI55" s="25">
        <f t="shared" si="79"/>
        <v>0.63356168148223868</v>
      </c>
      <c r="AJ55" s="75">
        <f t="shared" si="50"/>
        <v>1776515622</v>
      </c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>
        <f>+'[1]AGOSTO 2015'!$V$1701</f>
        <v>1776515622</v>
      </c>
      <c r="AX55" s="75"/>
      <c r="AY55" s="75"/>
      <c r="AZ55" s="75"/>
      <c r="BA55" s="75"/>
      <c r="BB55" s="75"/>
      <c r="BC55" s="75"/>
      <c r="BD55" s="75"/>
      <c r="BE55" s="25">
        <f t="shared" si="41"/>
        <v>0.36643831851776132</v>
      </c>
      <c r="BF55" s="75">
        <f t="shared" si="51"/>
        <v>1027498058</v>
      </c>
      <c r="BG55" s="75">
        <f t="shared" si="52"/>
        <v>0</v>
      </c>
      <c r="BH55" s="75">
        <f t="shared" si="87"/>
        <v>0</v>
      </c>
      <c r="BI55" s="75">
        <f t="shared" si="82"/>
        <v>0</v>
      </c>
      <c r="BJ55" s="75">
        <f t="shared" si="83"/>
        <v>0</v>
      </c>
      <c r="BK55" s="75"/>
      <c r="BL55" s="75">
        <f t="shared" si="54"/>
        <v>0</v>
      </c>
      <c r="BM55" s="75">
        <f t="shared" si="55"/>
        <v>0</v>
      </c>
      <c r="BN55" s="75"/>
      <c r="BO55" s="75"/>
      <c r="BP55" s="75">
        <f>+W55-AU55</f>
        <v>0</v>
      </c>
      <c r="BQ55" s="75"/>
      <c r="BR55" s="75">
        <f t="shared" ref="BR55:BT58" si="89">+Y55-AV55</f>
        <v>0</v>
      </c>
      <c r="BS55" s="75">
        <f t="shared" si="89"/>
        <v>1027498058</v>
      </c>
      <c r="BT55" s="75">
        <f t="shared" si="89"/>
        <v>0</v>
      </c>
      <c r="BU55" s="75"/>
      <c r="BV55" s="75">
        <f t="shared" ref="BV55:BW58" si="90">+AC55-AZ55</f>
        <v>0</v>
      </c>
      <c r="BW55" s="75">
        <f t="shared" si="90"/>
        <v>0</v>
      </c>
      <c r="BX55" s="75"/>
      <c r="BY55" s="75"/>
      <c r="BZ55" s="75">
        <f t="shared" si="63"/>
        <v>0</v>
      </c>
      <c r="CA55" s="25">
        <f t="shared" si="80"/>
        <v>0.22323651110004569</v>
      </c>
      <c r="CB55" s="75">
        <f t="shared" si="64"/>
        <v>625958231</v>
      </c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>
        <f>+'[1]AGOSTO 2015'!$H$1699</f>
        <v>625958231</v>
      </c>
      <c r="CP55" s="75"/>
      <c r="CQ55" s="75"/>
      <c r="CR55" s="75"/>
      <c r="CS55" s="75"/>
      <c r="CT55" s="75"/>
      <c r="CU55" s="75"/>
      <c r="CV55" s="75"/>
      <c r="CW55" s="25">
        <f t="shared" si="81"/>
        <v>0.77676348889995428</v>
      </c>
      <c r="CX55" s="75">
        <f t="shared" si="65"/>
        <v>2178055449</v>
      </c>
      <c r="CY55" s="75"/>
      <c r="CZ55" s="75"/>
      <c r="DA55" s="75"/>
      <c r="DB55" s="75">
        <f t="shared" si="86"/>
        <v>0</v>
      </c>
      <c r="DC55" s="75"/>
      <c r="DD55" s="75">
        <f t="shared" si="67"/>
        <v>0</v>
      </c>
      <c r="DE55" s="75">
        <f t="shared" si="68"/>
        <v>0</v>
      </c>
      <c r="DF55" s="75"/>
      <c r="DG55" s="75">
        <f t="shared" si="69"/>
        <v>0</v>
      </c>
      <c r="DH55" s="75">
        <f t="shared" si="70"/>
        <v>0</v>
      </c>
      <c r="DI55" s="75"/>
      <c r="DJ55" s="75">
        <f t="shared" si="71"/>
        <v>0</v>
      </c>
      <c r="DK55" s="75">
        <f t="shared" si="72"/>
        <v>2178055449</v>
      </c>
      <c r="DL55" s="75">
        <f t="shared" si="73"/>
        <v>0</v>
      </c>
      <c r="DM55" s="75">
        <f t="shared" si="74"/>
        <v>0</v>
      </c>
      <c r="DN55" s="75">
        <f t="shared" si="75"/>
        <v>0</v>
      </c>
      <c r="DO55" s="75">
        <f t="shared" si="76"/>
        <v>0</v>
      </c>
      <c r="DP55" s="75">
        <f t="shared" si="77"/>
        <v>0</v>
      </c>
      <c r="DQ55" s="75"/>
      <c r="DR55" s="75">
        <f t="shared" si="78"/>
        <v>0</v>
      </c>
    </row>
    <row r="56" spans="1:123" ht="33.75" customHeight="1" x14ac:dyDescent="0.25">
      <c r="A56" s="226"/>
      <c r="B56" s="81" t="s">
        <v>332</v>
      </c>
      <c r="C56" s="82" t="s">
        <v>331</v>
      </c>
      <c r="D56" s="81" t="s">
        <v>330</v>
      </c>
      <c r="E56" s="97">
        <v>410</v>
      </c>
      <c r="F56" s="78" t="s">
        <v>214</v>
      </c>
      <c r="G56" s="227">
        <v>50000000</v>
      </c>
      <c r="H56" s="79">
        <f t="shared" si="47"/>
        <v>29661193</v>
      </c>
      <c r="I56" s="79">
        <f t="shared" si="48"/>
        <v>5338807</v>
      </c>
      <c r="J56" s="78"/>
      <c r="K56" s="78"/>
      <c r="L56" s="78"/>
      <c r="M56" s="75">
        <f t="shared" si="49"/>
        <v>35000000</v>
      </c>
      <c r="N56" s="45"/>
      <c r="O56" s="75"/>
      <c r="P56" s="75"/>
      <c r="Q56" s="75"/>
      <c r="R56" s="75"/>
      <c r="S56" s="75">
        <v>35000000</v>
      </c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I56" s="25">
        <f t="shared" si="79"/>
        <v>1</v>
      </c>
      <c r="AJ56" s="75">
        <f t="shared" si="50"/>
        <v>35000000</v>
      </c>
      <c r="AK56" s="75"/>
      <c r="AL56" s="75"/>
      <c r="AM56" s="75"/>
      <c r="AN56" s="75"/>
      <c r="AO56" s="75"/>
      <c r="AP56" s="75">
        <f>+'[8]FEBRERO 2015'!$N$658</f>
        <v>35000000</v>
      </c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25">
        <f t="shared" ref="BE56:BE87" si="91">1-AI56</f>
        <v>0</v>
      </c>
      <c r="BF56" s="75">
        <f t="shared" si="51"/>
        <v>0</v>
      </c>
      <c r="BG56" s="75">
        <f t="shared" si="52"/>
        <v>0</v>
      </c>
      <c r="BH56" s="75">
        <f t="shared" si="87"/>
        <v>0</v>
      </c>
      <c r="BI56" s="75">
        <f t="shared" si="82"/>
        <v>0</v>
      </c>
      <c r="BJ56" s="75">
        <f t="shared" si="83"/>
        <v>0</v>
      </c>
      <c r="BK56" s="75"/>
      <c r="BL56" s="75">
        <f t="shared" si="54"/>
        <v>0</v>
      </c>
      <c r="BM56" s="75">
        <f t="shared" si="55"/>
        <v>0</v>
      </c>
      <c r="BN56" s="75"/>
      <c r="BO56" s="75">
        <f>+V56-AS56</f>
        <v>0</v>
      </c>
      <c r="BP56" s="75">
        <f>+W56-AT56</f>
        <v>0</v>
      </c>
      <c r="BQ56" s="75">
        <f>+X56-AU56</f>
        <v>0</v>
      </c>
      <c r="BR56" s="75">
        <f t="shared" si="89"/>
        <v>0</v>
      </c>
      <c r="BS56" s="75">
        <f t="shared" si="89"/>
        <v>0</v>
      </c>
      <c r="BT56" s="75">
        <f t="shared" si="89"/>
        <v>0</v>
      </c>
      <c r="BU56" s="75">
        <f>+AB56-AY56</f>
        <v>0</v>
      </c>
      <c r="BV56" s="75">
        <f t="shared" si="90"/>
        <v>0</v>
      </c>
      <c r="BW56" s="75">
        <f t="shared" si="90"/>
        <v>0</v>
      </c>
      <c r="BX56" s="75">
        <f>+AE56-BB56</f>
        <v>0</v>
      </c>
      <c r="BY56" s="75">
        <f>+AF56-BC56</f>
        <v>0</v>
      </c>
      <c r="BZ56" s="75">
        <f t="shared" si="63"/>
        <v>0</v>
      </c>
      <c r="CA56" s="25">
        <f t="shared" si="80"/>
        <v>0.84746265714285718</v>
      </c>
      <c r="CB56" s="75">
        <f t="shared" si="64"/>
        <v>29661193</v>
      </c>
      <c r="CC56" s="75"/>
      <c r="CD56" s="75"/>
      <c r="CE56" s="75"/>
      <c r="CF56" s="75"/>
      <c r="CG56" s="75"/>
      <c r="CH56" s="75">
        <f>+'[6]JUNIO 2015'!$H$1373</f>
        <v>29661193</v>
      </c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25">
        <f t="shared" si="81"/>
        <v>0.15253734285714282</v>
      </c>
      <c r="CX56" s="75">
        <f t="shared" si="65"/>
        <v>5338807</v>
      </c>
      <c r="CY56" s="75"/>
      <c r="CZ56" s="75"/>
      <c r="DA56" s="75"/>
      <c r="DB56" s="75">
        <f t="shared" si="86"/>
        <v>0</v>
      </c>
      <c r="DC56" s="75"/>
      <c r="DD56" s="75">
        <f t="shared" si="67"/>
        <v>5338807</v>
      </c>
      <c r="DE56" s="75">
        <f t="shared" si="68"/>
        <v>0</v>
      </c>
      <c r="DF56" s="75"/>
      <c r="DG56" s="75">
        <f t="shared" si="69"/>
        <v>0</v>
      </c>
      <c r="DH56" s="75">
        <f t="shared" si="70"/>
        <v>0</v>
      </c>
      <c r="DI56" s="75"/>
      <c r="DJ56" s="75">
        <f t="shared" si="71"/>
        <v>0</v>
      </c>
      <c r="DK56" s="75">
        <f t="shared" si="72"/>
        <v>0</v>
      </c>
      <c r="DL56" s="75">
        <f t="shared" si="73"/>
        <v>0</v>
      </c>
      <c r="DM56" s="75">
        <f t="shared" si="74"/>
        <v>0</v>
      </c>
      <c r="DN56" s="75">
        <f t="shared" si="75"/>
        <v>0</v>
      </c>
      <c r="DO56" s="75">
        <f t="shared" si="76"/>
        <v>0</v>
      </c>
      <c r="DP56" s="75">
        <f t="shared" si="77"/>
        <v>0</v>
      </c>
      <c r="DQ56" s="75"/>
      <c r="DR56" s="75">
        <f t="shared" si="78"/>
        <v>0</v>
      </c>
    </row>
    <row r="57" spans="1:123" ht="30" customHeight="1" x14ac:dyDescent="0.25">
      <c r="A57" s="226"/>
      <c r="B57" s="81"/>
      <c r="C57" s="82" t="s">
        <v>329</v>
      </c>
      <c r="D57" s="81" t="s">
        <v>328</v>
      </c>
      <c r="E57" s="97">
        <v>410</v>
      </c>
      <c r="F57" s="78" t="s">
        <v>214</v>
      </c>
      <c r="G57" s="229"/>
      <c r="H57" s="79">
        <f t="shared" si="47"/>
        <v>7013333</v>
      </c>
      <c r="I57" s="79">
        <f t="shared" si="48"/>
        <v>7986667</v>
      </c>
      <c r="J57" s="78"/>
      <c r="K57" s="78"/>
      <c r="L57" s="78"/>
      <c r="M57" s="75">
        <f t="shared" si="49"/>
        <v>15000000</v>
      </c>
      <c r="N57" s="45"/>
      <c r="O57" s="75"/>
      <c r="P57" s="75"/>
      <c r="Q57" s="75"/>
      <c r="R57" s="75"/>
      <c r="S57" s="75">
        <v>15000000</v>
      </c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I57" s="25">
        <f t="shared" si="79"/>
        <v>1</v>
      </c>
      <c r="AJ57" s="75">
        <f t="shared" si="50"/>
        <v>15000000</v>
      </c>
      <c r="AK57" s="75"/>
      <c r="AL57" s="75"/>
      <c r="AM57" s="75"/>
      <c r="AN57" s="75"/>
      <c r="AO57" s="75"/>
      <c r="AP57" s="75">
        <f>+'[8]FEBRERO 2015'!$G$661</f>
        <v>15000000</v>
      </c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25">
        <f t="shared" si="91"/>
        <v>0</v>
      </c>
      <c r="BF57" s="75">
        <f t="shared" si="51"/>
        <v>0</v>
      </c>
      <c r="BG57" s="75">
        <f t="shared" si="52"/>
        <v>0</v>
      </c>
      <c r="BH57" s="75"/>
      <c r="BI57" s="75">
        <f t="shared" si="82"/>
        <v>0</v>
      </c>
      <c r="BJ57" s="75">
        <f t="shared" si="83"/>
        <v>0</v>
      </c>
      <c r="BK57" s="75"/>
      <c r="BL57" s="75">
        <f t="shared" si="54"/>
        <v>0</v>
      </c>
      <c r="BM57" s="75">
        <f t="shared" si="55"/>
        <v>0</v>
      </c>
      <c r="BN57" s="75"/>
      <c r="BO57" s="75"/>
      <c r="BP57" s="75">
        <f>+W57-AT57</f>
        <v>0</v>
      </c>
      <c r="BQ57" s="75"/>
      <c r="BR57" s="75">
        <f t="shared" si="89"/>
        <v>0</v>
      </c>
      <c r="BS57" s="75">
        <f t="shared" si="89"/>
        <v>0</v>
      </c>
      <c r="BT57" s="75">
        <f t="shared" si="89"/>
        <v>0</v>
      </c>
      <c r="BU57" s="75">
        <f>+AB57-AY57</f>
        <v>0</v>
      </c>
      <c r="BV57" s="75">
        <f t="shared" si="90"/>
        <v>0</v>
      </c>
      <c r="BW57" s="75">
        <f t="shared" si="90"/>
        <v>0</v>
      </c>
      <c r="BX57" s="75"/>
      <c r="BY57" s="75"/>
      <c r="BZ57" s="75">
        <f t="shared" si="63"/>
        <v>0</v>
      </c>
      <c r="CA57" s="25">
        <f t="shared" si="80"/>
        <v>0.46755553333333333</v>
      </c>
      <c r="CB57" s="75">
        <f t="shared" si="64"/>
        <v>7013333</v>
      </c>
      <c r="CC57" s="75"/>
      <c r="CD57" s="75"/>
      <c r="CE57" s="75"/>
      <c r="CF57" s="75"/>
      <c r="CG57" s="75"/>
      <c r="CH57" s="75">
        <f>+'[3]ABRIL 2015'!$H$1057</f>
        <v>7013333</v>
      </c>
      <c r="CI57" s="75"/>
      <c r="CJ57" s="75"/>
      <c r="CK57" s="75"/>
      <c r="CL57" s="75"/>
      <c r="CM57" s="75"/>
      <c r="CN57" s="75"/>
      <c r="CO57" s="75"/>
      <c r="CP57" s="75"/>
      <c r="CQ57" s="75"/>
      <c r="CR57" s="75"/>
      <c r="CS57" s="75"/>
      <c r="CT57" s="75"/>
      <c r="CU57" s="75"/>
      <c r="CV57" s="75"/>
      <c r="CW57" s="25">
        <f t="shared" si="81"/>
        <v>0.53244446666666667</v>
      </c>
      <c r="CX57" s="75">
        <f t="shared" si="65"/>
        <v>7986667</v>
      </c>
      <c r="CY57" s="75"/>
      <c r="CZ57" s="75"/>
      <c r="DA57" s="75"/>
      <c r="DB57" s="75">
        <f t="shared" si="86"/>
        <v>0</v>
      </c>
      <c r="DC57" s="75"/>
      <c r="DD57" s="75">
        <f t="shared" si="67"/>
        <v>7986667</v>
      </c>
      <c r="DE57" s="75">
        <f t="shared" si="68"/>
        <v>0</v>
      </c>
      <c r="DF57" s="75"/>
      <c r="DG57" s="75">
        <f t="shared" si="69"/>
        <v>0</v>
      </c>
      <c r="DH57" s="75">
        <f t="shared" si="70"/>
        <v>0</v>
      </c>
      <c r="DI57" s="75"/>
      <c r="DJ57" s="75">
        <f t="shared" si="71"/>
        <v>0</v>
      </c>
      <c r="DK57" s="75">
        <f t="shared" si="72"/>
        <v>0</v>
      </c>
      <c r="DL57" s="75">
        <f t="shared" si="73"/>
        <v>0</v>
      </c>
      <c r="DM57" s="75">
        <f t="shared" si="74"/>
        <v>0</v>
      </c>
      <c r="DN57" s="75">
        <f t="shared" si="75"/>
        <v>0</v>
      </c>
      <c r="DO57" s="75">
        <f t="shared" si="76"/>
        <v>0</v>
      </c>
      <c r="DP57" s="75">
        <f t="shared" si="77"/>
        <v>0</v>
      </c>
      <c r="DQ57" s="75"/>
      <c r="DR57" s="75">
        <f t="shared" si="78"/>
        <v>0</v>
      </c>
    </row>
    <row r="58" spans="1:123" ht="35.25" customHeight="1" x14ac:dyDescent="0.25">
      <c r="A58" s="226"/>
      <c r="B58" s="81" t="s">
        <v>327</v>
      </c>
      <c r="C58" s="82" t="s">
        <v>326</v>
      </c>
      <c r="D58" s="81" t="s">
        <v>325</v>
      </c>
      <c r="E58" s="97">
        <v>410</v>
      </c>
      <c r="F58" s="78" t="s">
        <v>324</v>
      </c>
      <c r="G58" s="227">
        <v>291000000</v>
      </c>
      <c r="H58" s="79">
        <f t="shared" si="47"/>
        <v>127851140</v>
      </c>
      <c r="I58" s="79">
        <f t="shared" si="48"/>
        <v>215412150</v>
      </c>
      <c r="J58" s="78"/>
      <c r="K58" s="78"/>
      <c r="L58" s="78"/>
      <c r="M58" s="75">
        <f t="shared" si="49"/>
        <v>343263290</v>
      </c>
      <c r="N58" s="45"/>
      <c r="O58" s="75"/>
      <c r="P58" s="75"/>
      <c r="Q58" s="75">
        <f>181000000-87736710+250000000</f>
        <v>343263290</v>
      </c>
      <c r="R58" s="75"/>
      <c r="S58" s="75">
        <f>100000000-100000000</f>
        <v>0</v>
      </c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>
        <f>10455882-10455882</f>
        <v>0</v>
      </c>
      <c r="AI58" s="25">
        <f t="shared" si="79"/>
        <v>1</v>
      </c>
      <c r="AJ58" s="75">
        <f t="shared" si="50"/>
        <v>343263290</v>
      </c>
      <c r="AK58" s="75"/>
      <c r="AL58" s="75"/>
      <c r="AM58" s="75"/>
      <c r="AN58" s="75">
        <f>+'[6]JUNIO 2015'!$M$1391</f>
        <v>343263290</v>
      </c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25">
        <f t="shared" si="91"/>
        <v>0</v>
      </c>
      <c r="BF58" s="75">
        <f t="shared" si="51"/>
        <v>0</v>
      </c>
      <c r="BG58" s="75">
        <f t="shared" si="52"/>
        <v>0</v>
      </c>
      <c r="BH58" s="75"/>
      <c r="BI58" s="75">
        <f t="shared" si="82"/>
        <v>0</v>
      </c>
      <c r="BJ58" s="75">
        <f t="shared" si="83"/>
        <v>0</v>
      </c>
      <c r="BK58" s="75"/>
      <c r="BL58" s="75">
        <f t="shared" si="54"/>
        <v>0</v>
      </c>
      <c r="BM58" s="75">
        <f t="shared" si="55"/>
        <v>0</v>
      </c>
      <c r="BN58" s="75"/>
      <c r="BO58" s="75"/>
      <c r="BP58" s="75">
        <f>+W58-AT58</f>
        <v>0</v>
      </c>
      <c r="BQ58" s="75"/>
      <c r="BR58" s="75">
        <f t="shared" si="89"/>
        <v>0</v>
      </c>
      <c r="BS58" s="75">
        <f t="shared" si="89"/>
        <v>0</v>
      </c>
      <c r="BT58" s="75">
        <f t="shared" si="89"/>
        <v>0</v>
      </c>
      <c r="BU58" s="75">
        <f>+AB58-AY58</f>
        <v>0</v>
      </c>
      <c r="BV58" s="75">
        <f t="shared" si="90"/>
        <v>0</v>
      </c>
      <c r="BW58" s="75">
        <f t="shared" si="90"/>
        <v>0</v>
      </c>
      <c r="BX58" s="75"/>
      <c r="BY58" s="75"/>
      <c r="BZ58" s="75">
        <f t="shared" si="63"/>
        <v>0</v>
      </c>
      <c r="CA58" s="25">
        <f t="shared" si="80"/>
        <v>0.37245794620217038</v>
      </c>
      <c r="CB58" s="75">
        <f t="shared" si="64"/>
        <v>127851140</v>
      </c>
      <c r="CC58" s="75"/>
      <c r="CD58" s="75"/>
      <c r="CE58" s="75"/>
      <c r="CF58" s="75">
        <f>+'[1]AGOSTO 2015'!$H$1817</f>
        <v>127851140</v>
      </c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25">
        <f t="shared" si="81"/>
        <v>0.62754205379782957</v>
      </c>
      <c r="CX58" s="75">
        <f t="shared" si="65"/>
        <v>215412150</v>
      </c>
      <c r="CY58" s="75"/>
      <c r="CZ58" s="75"/>
      <c r="DA58" s="75"/>
      <c r="DB58" s="75">
        <f t="shared" si="86"/>
        <v>215412150</v>
      </c>
      <c r="DC58" s="75"/>
      <c r="DD58" s="75">
        <f t="shared" si="67"/>
        <v>0</v>
      </c>
      <c r="DE58" s="75">
        <f t="shared" si="68"/>
        <v>0</v>
      </c>
      <c r="DF58" s="75"/>
      <c r="DG58" s="75">
        <f t="shared" si="69"/>
        <v>0</v>
      </c>
      <c r="DH58" s="75">
        <f t="shared" si="70"/>
        <v>0</v>
      </c>
      <c r="DI58" s="75"/>
      <c r="DJ58" s="75">
        <f t="shared" si="71"/>
        <v>0</v>
      </c>
      <c r="DK58" s="75">
        <f t="shared" si="72"/>
        <v>0</v>
      </c>
      <c r="DL58" s="75">
        <f t="shared" si="73"/>
        <v>0</v>
      </c>
      <c r="DM58" s="75">
        <f t="shared" si="74"/>
        <v>0</v>
      </c>
      <c r="DN58" s="75">
        <f t="shared" si="75"/>
        <v>0</v>
      </c>
      <c r="DO58" s="75">
        <f t="shared" si="76"/>
        <v>0</v>
      </c>
      <c r="DP58" s="75">
        <f t="shared" si="77"/>
        <v>0</v>
      </c>
      <c r="DQ58" s="75"/>
      <c r="DR58" s="75">
        <f t="shared" si="78"/>
        <v>0</v>
      </c>
    </row>
    <row r="59" spans="1:123" ht="33" customHeight="1" x14ac:dyDescent="0.25">
      <c r="A59" s="226"/>
      <c r="B59" s="81"/>
      <c r="C59" s="82" t="s">
        <v>323</v>
      </c>
      <c r="D59" s="81" t="s">
        <v>322</v>
      </c>
      <c r="E59" s="97">
        <v>410</v>
      </c>
      <c r="F59" s="78" t="s">
        <v>74</v>
      </c>
      <c r="G59" s="229"/>
      <c r="H59" s="79">
        <f t="shared" si="47"/>
        <v>0</v>
      </c>
      <c r="I59" s="79">
        <f t="shared" si="48"/>
        <v>2000000</v>
      </c>
      <c r="J59" s="78"/>
      <c r="K59" s="78"/>
      <c r="L59" s="78"/>
      <c r="M59" s="75">
        <f t="shared" si="49"/>
        <v>2000000</v>
      </c>
      <c r="N59" s="45"/>
      <c r="O59" s="115"/>
      <c r="P59" s="115"/>
      <c r="Q59" s="75"/>
      <c r="R59" s="75"/>
      <c r="S59" s="11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>
        <f>2000000</f>
        <v>2000000</v>
      </c>
      <c r="AI59" s="25">
        <f t="shared" si="79"/>
        <v>1</v>
      </c>
      <c r="AJ59" s="75">
        <f t="shared" si="50"/>
        <v>2000000</v>
      </c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>
        <f>+'[2]JULIO 2015'!$G$1634</f>
        <v>2000000</v>
      </c>
      <c r="BE59" s="25">
        <f t="shared" si="91"/>
        <v>0</v>
      </c>
      <c r="BF59" s="75">
        <f t="shared" si="51"/>
        <v>0</v>
      </c>
      <c r="BG59" s="75"/>
      <c r="BH59" s="75"/>
      <c r="BI59" s="75">
        <f t="shared" ref="BI59:BI66" si="92">P59-AM59</f>
        <v>0</v>
      </c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>
        <f t="shared" si="63"/>
        <v>0</v>
      </c>
      <c r="CA59" s="25">
        <f t="shared" si="80"/>
        <v>0</v>
      </c>
      <c r="CB59" s="75">
        <f t="shared" si="64"/>
        <v>0</v>
      </c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25">
        <f t="shared" si="81"/>
        <v>1</v>
      </c>
      <c r="CX59" s="75">
        <f t="shared" si="65"/>
        <v>2000000</v>
      </c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>
        <f t="shared" si="78"/>
        <v>2000000</v>
      </c>
    </row>
    <row r="60" spans="1:123" ht="36" customHeight="1" x14ac:dyDescent="0.25">
      <c r="A60" s="226"/>
      <c r="B60" s="81" t="s">
        <v>321</v>
      </c>
      <c r="C60" s="82" t="s">
        <v>320</v>
      </c>
      <c r="D60" s="81" t="s">
        <v>319</v>
      </c>
      <c r="E60" s="97">
        <v>410</v>
      </c>
      <c r="F60" s="78" t="s">
        <v>214</v>
      </c>
      <c r="G60" s="78">
        <v>300000000</v>
      </c>
      <c r="H60" s="79">
        <f t="shared" si="47"/>
        <v>201318782</v>
      </c>
      <c r="I60" s="79">
        <f t="shared" si="48"/>
        <v>21499955</v>
      </c>
      <c r="J60" s="78"/>
      <c r="K60" s="78"/>
      <c r="L60" s="78"/>
      <c r="M60" s="75">
        <f t="shared" si="49"/>
        <v>222818737</v>
      </c>
      <c r="N60" s="45"/>
      <c r="O60" s="115">
        <f>55819123-55819123</f>
        <v>0</v>
      </c>
      <c r="P60" s="115"/>
      <c r="Q60" s="75">
        <f>150000000-21362140</f>
        <v>128637860</v>
      </c>
      <c r="R60" s="75"/>
      <c r="S60" s="115">
        <f>150000000-55819123+20000000-20000000</f>
        <v>94180877</v>
      </c>
      <c r="T60" s="45"/>
      <c r="U60" s="45"/>
      <c r="V60" s="4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I60" s="25">
        <f t="shared" si="79"/>
        <v>1</v>
      </c>
      <c r="AJ60" s="75">
        <f t="shared" si="50"/>
        <v>222818737</v>
      </c>
      <c r="AK60" s="75"/>
      <c r="AL60" s="75"/>
      <c r="AM60" s="75"/>
      <c r="AN60" s="75">
        <f>+'[6]JUNIO 2015'!$M$1412</f>
        <v>128637860</v>
      </c>
      <c r="AO60" s="75"/>
      <c r="AP60" s="75">
        <f>+'[6]JUNIO 2015'!$O$1412</f>
        <v>94180877</v>
      </c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25">
        <f t="shared" si="91"/>
        <v>0</v>
      </c>
      <c r="BF60" s="75">
        <f t="shared" si="51"/>
        <v>0</v>
      </c>
      <c r="BG60" s="75">
        <f t="shared" ref="BG60:BG66" si="93">+N60-AK60</f>
        <v>0</v>
      </c>
      <c r="BH60" s="75">
        <f>O60-AL60</f>
        <v>0</v>
      </c>
      <c r="BI60" s="75">
        <f t="shared" si="92"/>
        <v>0</v>
      </c>
      <c r="BJ60" s="75">
        <f t="shared" ref="BJ60:BJ66" si="94">Q60-AN60</f>
        <v>0</v>
      </c>
      <c r="BK60" s="75"/>
      <c r="BL60" s="75">
        <f t="shared" ref="BL60:BM66" si="95">+S60-AP60</f>
        <v>0</v>
      </c>
      <c r="BM60" s="75">
        <f t="shared" si="95"/>
        <v>0</v>
      </c>
      <c r="BN60" s="75"/>
      <c r="BO60" s="75"/>
      <c r="BP60" s="75">
        <f t="shared" ref="BP60:BP66" si="96">+W60-AT60</f>
        <v>0</v>
      </c>
      <c r="BQ60" s="75"/>
      <c r="BR60" s="75">
        <f t="shared" ref="BR60:BW66" si="97">+Y60-AV60</f>
        <v>0</v>
      </c>
      <c r="BS60" s="75">
        <f t="shared" si="97"/>
        <v>0</v>
      </c>
      <c r="BT60" s="75">
        <f t="shared" si="97"/>
        <v>0</v>
      </c>
      <c r="BU60" s="75">
        <f t="shared" si="97"/>
        <v>0</v>
      </c>
      <c r="BV60" s="75">
        <f t="shared" si="97"/>
        <v>0</v>
      </c>
      <c r="BW60" s="75">
        <f t="shared" si="97"/>
        <v>0</v>
      </c>
      <c r="BX60" s="75"/>
      <c r="BY60" s="75"/>
      <c r="BZ60" s="75">
        <f t="shared" si="63"/>
        <v>0</v>
      </c>
      <c r="CA60" s="25">
        <f t="shared" si="80"/>
        <v>0.90350921430813069</v>
      </c>
      <c r="CB60" s="75">
        <f t="shared" si="64"/>
        <v>201318782</v>
      </c>
      <c r="CC60" s="75"/>
      <c r="CD60" s="75"/>
      <c r="CE60" s="75"/>
      <c r="CF60" s="75">
        <f>+'[1]AGOSTO 2015'!$H$1852</f>
        <v>128637860</v>
      </c>
      <c r="CG60" s="75"/>
      <c r="CH60" s="75">
        <f>+'[1]AGOSTO 2015'!$H$1842+'[1]AGOSTO 2015'!$H$1859</f>
        <v>72680922</v>
      </c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25">
        <f t="shared" si="81"/>
        <v>9.6490785691869307E-2</v>
      </c>
      <c r="CX60" s="75">
        <f t="shared" si="65"/>
        <v>21499955</v>
      </c>
      <c r="CY60" s="75"/>
      <c r="CZ60" s="75">
        <f>O60-CD60</f>
        <v>0</v>
      </c>
      <c r="DA60" s="75">
        <f>P60-CE60</f>
        <v>0</v>
      </c>
      <c r="DB60" s="75">
        <f>Q60-CF60</f>
        <v>0</v>
      </c>
      <c r="DC60" s="75"/>
      <c r="DD60" s="75">
        <f t="shared" ref="DD60:DE66" si="98">S60-CH60</f>
        <v>21499955</v>
      </c>
      <c r="DE60" s="75">
        <f t="shared" si="98"/>
        <v>0</v>
      </c>
      <c r="DF60" s="75"/>
      <c r="DG60" s="75">
        <f t="shared" ref="DG60:DH66" si="99">+V60-CK60</f>
        <v>0</v>
      </c>
      <c r="DH60" s="75">
        <f t="shared" si="99"/>
        <v>0</v>
      </c>
      <c r="DI60" s="75"/>
      <c r="DJ60" s="75">
        <f t="shared" ref="DJ60:DL66" si="100">Y60-CN60</f>
        <v>0</v>
      </c>
      <c r="DK60" s="75">
        <f t="shared" si="100"/>
        <v>0</v>
      </c>
      <c r="DL60" s="75">
        <f t="shared" si="100"/>
        <v>0</v>
      </c>
      <c r="DM60" s="75">
        <f t="shared" ref="DM60:DP66" si="101">+AB60-CQ60</f>
        <v>0</v>
      </c>
      <c r="DN60" s="75">
        <f t="shared" si="101"/>
        <v>0</v>
      </c>
      <c r="DO60" s="75">
        <f t="shared" si="101"/>
        <v>0</v>
      </c>
      <c r="DP60" s="75">
        <f t="shared" si="101"/>
        <v>0</v>
      </c>
      <c r="DQ60" s="75"/>
      <c r="DR60" s="75">
        <f t="shared" si="78"/>
        <v>0</v>
      </c>
      <c r="DS60" s="68"/>
    </row>
    <row r="61" spans="1:123" ht="27.75" customHeight="1" x14ac:dyDescent="0.25">
      <c r="A61" s="226"/>
      <c r="B61" s="81" t="s">
        <v>318</v>
      </c>
      <c r="C61" s="82" t="s">
        <v>317</v>
      </c>
      <c r="D61" s="81" t="s">
        <v>316</v>
      </c>
      <c r="E61" s="97">
        <v>410</v>
      </c>
      <c r="F61" s="78" t="s">
        <v>315</v>
      </c>
      <c r="G61" s="227">
        <v>225000000</v>
      </c>
      <c r="H61" s="79">
        <f t="shared" si="47"/>
        <v>0</v>
      </c>
      <c r="I61" s="79">
        <f t="shared" si="48"/>
        <v>5000000</v>
      </c>
      <c r="J61" s="78"/>
      <c r="K61" s="78"/>
      <c r="L61" s="78"/>
      <c r="M61" s="75">
        <f t="shared" si="49"/>
        <v>5000000</v>
      </c>
      <c r="N61" s="45"/>
      <c r="O61" s="45"/>
      <c r="P61" s="45"/>
      <c r="Q61" s="75"/>
      <c r="R61" s="75"/>
      <c r="S61" s="45"/>
      <c r="T61" s="45"/>
      <c r="U61" s="45"/>
      <c r="V61" s="4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>
        <f>5000000</f>
        <v>5000000</v>
      </c>
      <c r="AI61" s="25">
        <f t="shared" si="79"/>
        <v>1</v>
      </c>
      <c r="AJ61" s="75">
        <f t="shared" si="50"/>
        <v>5000000</v>
      </c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>
        <f>+'[8]FEBRERO 2015'!$AC$685</f>
        <v>5000000</v>
      </c>
      <c r="BE61" s="25">
        <f t="shared" si="91"/>
        <v>0</v>
      </c>
      <c r="BF61" s="75">
        <f t="shared" si="51"/>
        <v>0</v>
      </c>
      <c r="BG61" s="75">
        <f t="shared" si="93"/>
        <v>0</v>
      </c>
      <c r="BH61" s="75"/>
      <c r="BI61" s="75">
        <f t="shared" si="92"/>
        <v>0</v>
      </c>
      <c r="BJ61" s="75">
        <f t="shared" si="94"/>
        <v>0</v>
      </c>
      <c r="BK61" s="75"/>
      <c r="BL61" s="75">
        <f t="shared" si="95"/>
        <v>0</v>
      </c>
      <c r="BM61" s="75">
        <f t="shared" si="95"/>
        <v>0</v>
      </c>
      <c r="BN61" s="75"/>
      <c r="BO61" s="75"/>
      <c r="BP61" s="75">
        <f t="shared" si="96"/>
        <v>0</v>
      </c>
      <c r="BQ61" s="75"/>
      <c r="BR61" s="75">
        <f t="shared" si="97"/>
        <v>0</v>
      </c>
      <c r="BS61" s="75">
        <f t="shared" si="97"/>
        <v>0</v>
      </c>
      <c r="BT61" s="75">
        <f t="shared" si="97"/>
        <v>0</v>
      </c>
      <c r="BU61" s="75">
        <f t="shared" si="97"/>
        <v>0</v>
      </c>
      <c r="BV61" s="75">
        <f t="shared" si="97"/>
        <v>0</v>
      </c>
      <c r="BW61" s="75">
        <f t="shared" si="97"/>
        <v>0</v>
      </c>
      <c r="BX61" s="75"/>
      <c r="BY61" s="75"/>
      <c r="BZ61" s="75">
        <f t="shared" si="63"/>
        <v>0</v>
      </c>
      <c r="CA61" s="25">
        <f t="shared" si="80"/>
        <v>0</v>
      </c>
      <c r="CB61" s="75">
        <f t="shared" si="64"/>
        <v>0</v>
      </c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25">
        <f t="shared" si="81"/>
        <v>1</v>
      </c>
      <c r="CX61" s="75">
        <f t="shared" si="65"/>
        <v>5000000</v>
      </c>
      <c r="CY61" s="75"/>
      <c r="CZ61" s="75"/>
      <c r="DA61" s="75"/>
      <c r="DB61" s="75">
        <f t="shared" ref="DB61:DB66" si="102">Q61-CF61</f>
        <v>0</v>
      </c>
      <c r="DC61" s="75"/>
      <c r="DD61" s="75">
        <f t="shared" si="98"/>
        <v>0</v>
      </c>
      <c r="DE61" s="75">
        <f t="shared" si="98"/>
        <v>0</v>
      </c>
      <c r="DF61" s="75"/>
      <c r="DG61" s="75">
        <f t="shared" si="99"/>
        <v>0</v>
      </c>
      <c r="DH61" s="75">
        <f t="shared" si="99"/>
        <v>0</v>
      </c>
      <c r="DI61" s="75"/>
      <c r="DJ61" s="75">
        <f t="shared" si="100"/>
        <v>0</v>
      </c>
      <c r="DK61" s="75">
        <f t="shared" si="100"/>
        <v>0</v>
      </c>
      <c r="DL61" s="75">
        <f t="shared" si="100"/>
        <v>0</v>
      </c>
      <c r="DM61" s="75">
        <f t="shared" si="101"/>
        <v>0</v>
      </c>
      <c r="DN61" s="75">
        <f t="shared" si="101"/>
        <v>0</v>
      </c>
      <c r="DO61" s="75">
        <f t="shared" si="101"/>
        <v>0</v>
      </c>
      <c r="DP61" s="75">
        <f t="shared" si="101"/>
        <v>0</v>
      </c>
      <c r="DQ61" s="75"/>
      <c r="DR61" s="75">
        <f t="shared" si="78"/>
        <v>5000000</v>
      </c>
    </row>
    <row r="62" spans="1:123" ht="50.25" customHeight="1" x14ac:dyDescent="0.25">
      <c r="A62" s="226"/>
      <c r="B62" s="81"/>
      <c r="C62" s="82" t="s">
        <v>314</v>
      </c>
      <c r="D62" s="81" t="s">
        <v>313</v>
      </c>
      <c r="E62" s="97">
        <v>410</v>
      </c>
      <c r="F62" s="78" t="s">
        <v>270</v>
      </c>
      <c r="G62" s="228"/>
      <c r="H62" s="79">
        <f t="shared" si="47"/>
        <v>45655090</v>
      </c>
      <c r="I62" s="79">
        <f t="shared" si="48"/>
        <v>44344910</v>
      </c>
      <c r="J62" s="78"/>
      <c r="K62" s="78"/>
      <c r="L62" s="78"/>
      <c r="M62" s="75">
        <f t="shared" si="49"/>
        <v>90000000</v>
      </c>
      <c r="N62" s="45"/>
      <c r="O62" s="45"/>
      <c r="P62" s="45"/>
      <c r="Q62" s="75"/>
      <c r="R62" s="75"/>
      <c r="S62" s="45"/>
      <c r="T62" s="45"/>
      <c r="U62" s="45"/>
      <c r="V62" s="45"/>
      <c r="W62" s="75"/>
      <c r="X62" s="75"/>
      <c r="Y62" s="75"/>
      <c r="Z62" s="75"/>
      <c r="AA62" s="75"/>
      <c r="AB62" s="75">
        <v>15000000</v>
      </c>
      <c r="AC62" s="75">
        <f>105000000-30000000</f>
        <v>75000000</v>
      </c>
      <c r="AD62" s="75"/>
      <c r="AE62" s="75"/>
      <c r="AF62" s="75"/>
      <c r="AG62" s="75"/>
      <c r="AI62" s="25">
        <f t="shared" si="79"/>
        <v>1</v>
      </c>
      <c r="AJ62" s="75">
        <f t="shared" si="50"/>
        <v>90000000</v>
      </c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>
        <f>+'[5]FEBRERO 2015'!$W$740</f>
        <v>15000000</v>
      </c>
      <c r="AZ62" s="75">
        <v>75000000</v>
      </c>
      <c r="BA62" s="75"/>
      <c r="BB62" s="75"/>
      <c r="BC62" s="75"/>
      <c r="BD62" s="75"/>
      <c r="BE62" s="25">
        <f t="shared" si="91"/>
        <v>0</v>
      </c>
      <c r="BF62" s="75">
        <f t="shared" si="51"/>
        <v>0</v>
      </c>
      <c r="BG62" s="75">
        <f t="shared" si="93"/>
        <v>0</v>
      </c>
      <c r="BH62" s="75"/>
      <c r="BI62" s="75">
        <f t="shared" si="92"/>
        <v>0</v>
      </c>
      <c r="BJ62" s="75">
        <f t="shared" si="94"/>
        <v>0</v>
      </c>
      <c r="BK62" s="75"/>
      <c r="BL62" s="75">
        <f t="shared" si="95"/>
        <v>0</v>
      </c>
      <c r="BM62" s="75">
        <f t="shared" si="95"/>
        <v>0</v>
      </c>
      <c r="BN62" s="75"/>
      <c r="BO62" s="75"/>
      <c r="BP62" s="75">
        <f t="shared" si="96"/>
        <v>0</v>
      </c>
      <c r="BQ62" s="75"/>
      <c r="BR62" s="75">
        <f t="shared" si="97"/>
        <v>0</v>
      </c>
      <c r="BS62" s="75">
        <f t="shared" si="97"/>
        <v>0</v>
      </c>
      <c r="BT62" s="75">
        <f t="shared" si="97"/>
        <v>0</v>
      </c>
      <c r="BU62" s="75">
        <f t="shared" si="97"/>
        <v>0</v>
      </c>
      <c r="BV62" s="75">
        <f t="shared" si="97"/>
        <v>0</v>
      </c>
      <c r="BW62" s="75">
        <f t="shared" si="97"/>
        <v>0</v>
      </c>
      <c r="BX62" s="75"/>
      <c r="BY62" s="75"/>
      <c r="BZ62" s="75">
        <f t="shared" si="63"/>
        <v>0</v>
      </c>
      <c r="CA62" s="25">
        <f t="shared" si="80"/>
        <v>0.50727877777777775</v>
      </c>
      <c r="CB62" s="75">
        <f t="shared" si="64"/>
        <v>45655090</v>
      </c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>
        <f>+'[3]ABRIL 2015'!$H$1101</f>
        <v>15000000</v>
      </c>
      <c r="CR62" s="75">
        <f>+'[1]AGOSTO 2015'!$H$1873</f>
        <v>30655090</v>
      </c>
      <c r="CS62" s="75"/>
      <c r="CT62" s="75"/>
      <c r="CU62" s="75"/>
      <c r="CV62" s="75"/>
      <c r="CW62" s="25">
        <f t="shared" si="81"/>
        <v>0.49272122222222225</v>
      </c>
      <c r="CX62" s="75">
        <f t="shared" si="65"/>
        <v>44344910</v>
      </c>
      <c r="CY62" s="75"/>
      <c r="CZ62" s="75"/>
      <c r="DA62" s="75"/>
      <c r="DB62" s="75">
        <f t="shared" si="102"/>
        <v>0</v>
      </c>
      <c r="DC62" s="75"/>
      <c r="DD62" s="75">
        <f t="shared" si="98"/>
        <v>0</v>
      </c>
      <c r="DE62" s="75">
        <f t="shared" si="98"/>
        <v>0</v>
      </c>
      <c r="DF62" s="75"/>
      <c r="DG62" s="75">
        <f t="shared" si="99"/>
        <v>0</v>
      </c>
      <c r="DH62" s="75">
        <f t="shared" si="99"/>
        <v>0</v>
      </c>
      <c r="DI62" s="75"/>
      <c r="DJ62" s="75">
        <f t="shared" si="100"/>
        <v>0</v>
      </c>
      <c r="DK62" s="75">
        <f t="shared" si="100"/>
        <v>0</v>
      </c>
      <c r="DL62" s="75">
        <f t="shared" si="100"/>
        <v>0</v>
      </c>
      <c r="DM62" s="75">
        <f t="shared" si="101"/>
        <v>0</v>
      </c>
      <c r="DN62" s="75">
        <f t="shared" si="101"/>
        <v>44344910</v>
      </c>
      <c r="DO62" s="75">
        <f t="shared" si="101"/>
        <v>0</v>
      </c>
      <c r="DP62" s="75">
        <f t="shared" si="101"/>
        <v>0</v>
      </c>
      <c r="DQ62" s="75"/>
      <c r="DR62" s="75">
        <f t="shared" si="78"/>
        <v>0</v>
      </c>
    </row>
    <row r="63" spans="1:123" ht="39" customHeight="1" x14ac:dyDescent="0.25">
      <c r="A63" s="226"/>
      <c r="B63" s="81"/>
      <c r="C63" s="82" t="s">
        <v>312</v>
      </c>
      <c r="D63" s="81" t="s">
        <v>311</v>
      </c>
      <c r="E63" s="97">
        <v>410</v>
      </c>
      <c r="F63" s="78" t="s">
        <v>270</v>
      </c>
      <c r="G63" s="228"/>
      <c r="H63" s="79">
        <f t="shared" si="47"/>
        <v>3078500</v>
      </c>
      <c r="I63" s="79">
        <f t="shared" si="48"/>
        <v>1921500</v>
      </c>
      <c r="J63" s="78"/>
      <c r="K63" s="78"/>
      <c r="L63" s="78"/>
      <c r="M63" s="75">
        <f t="shared" si="49"/>
        <v>5000000</v>
      </c>
      <c r="N63" s="45"/>
      <c r="O63" s="45"/>
      <c r="P63" s="45"/>
      <c r="Q63" s="75"/>
      <c r="R63" s="75"/>
      <c r="S63" s="45"/>
      <c r="T63" s="45"/>
      <c r="U63" s="45"/>
      <c r="V63" s="45"/>
      <c r="W63" s="75"/>
      <c r="X63" s="75"/>
      <c r="Y63" s="75"/>
      <c r="Z63" s="75"/>
      <c r="AA63" s="75"/>
      <c r="AB63" s="75"/>
      <c r="AC63" s="75">
        <v>5000000</v>
      </c>
      <c r="AD63" s="75"/>
      <c r="AE63" s="75"/>
      <c r="AF63" s="75"/>
      <c r="AG63" s="75"/>
      <c r="AI63" s="25">
        <f t="shared" si="79"/>
        <v>1</v>
      </c>
      <c r="AJ63" s="75">
        <f t="shared" si="50"/>
        <v>5000000</v>
      </c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>
        <f>+'[8]FEBRERO 2015'!$X$695</f>
        <v>5000000</v>
      </c>
      <c r="BA63" s="75"/>
      <c r="BB63" s="75"/>
      <c r="BC63" s="75"/>
      <c r="BD63" s="75"/>
      <c r="BE63" s="25">
        <f t="shared" si="91"/>
        <v>0</v>
      </c>
      <c r="BF63" s="75">
        <f t="shared" si="51"/>
        <v>0</v>
      </c>
      <c r="BG63" s="75">
        <f t="shared" si="93"/>
        <v>0</v>
      </c>
      <c r="BH63" s="75"/>
      <c r="BI63" s="75">
        <f t="shared" si="92"/>
        <v>0</v>
      </c>
      <c r="BJ63" s="75">
        <f t="shared" si="94"/>
        <v>0</v>
      </c>
      <c r="BK63" s="75"/>
      <c r="BL63" s="75">
        <f t="shared" si="95"/>
        <v>0</v>
      </c>
      <c r="BM63" s="75">
        <f t="shared" si="95"/>
        <v>0</v>
      </c>
      <c r="BN63" s="75"/>
      <c r="BO63" s="75"/>
      <c r="BP63" s="75">
        <f t="shared" si="96"/>
        <v>0</v>
      </c>
      <c r="BQ63" s="75"/>
      <c r="BR63" s="75">
        <f t="shared" si="97"/>
        <v>0</v>
      </c>
      <c r="BS63" s="75">
        <f t="shared" si="97"/>
        <v>0</v>
      </c>
      <c r="BT63" s="75">
        <f t="shared" si="97"/>
        <v>0</v>
      </c>
      <c r="BU63" s="75">
        <f t="shared" si="97"/>
        <v>0</v>
      </c>
      <c r="BV63" s="75">
        <f t="shared" si="97"/>
        <v>0</v>
      </c>
      <c r="BW63" s="75">
        <f t="shared" si="97"/>
        <v>0</v>
      </c>
      <c r="BX63" s="75"/>
      <c r="BY63" s="75"/>
      <c r="BZ63" s="75">
        <f t="shared" si="63"/>
        <v>0</v>
      </c>
      <c r="CA63" s="25">
        <f t="shared" si="80"/>
        <v>0.61570000000000003</v>
      </c>
      <c r="CB63" s="75">
        <f t="shared" si="64"/>
        <v>3078500</v>
      </c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>
        <f>+'[3]ABRIL 2015'!$H$1104</f>
        <v>3078500</v>
      </c>
      <c r="CS63" s="75"/>
      <c r="CT63" s="75"/>
      <c r="CU63" s="75"/>
      <c r="CV63" s="75"/>
      <c r="CW63" s="25">
        <f t="shared" si="81"/>
        <v>0.38429999999999997</v>
      </c>
      <c r="CX63" s="75">
        <f t="shared" si="65"/>
        <v>1921500</v>
      </c>
      <c r="CY63" s="75"/>
      <c r="CZ63" s="75"/>
      <c r="DA63" s="75"/>
      <c r="DB63" s="75">
        <f t="shared" si="102"/>
        <v>0</v>
      </c>
      <c r="DC63" s="75"/>
      <c r="DD63" s="75">
        <f t="shared" si="98"/>
        <v>0</v>
      </c>
      <c r="DE63" s="75">
        <f t="shared" si="98"/>
        <v>0</v>
      </c>
      <c r="DF63" s="75"/>
      <c r="DG63" s="75">
        <f t="shared" si="99"/>
        <v>0</v>
      </c>
      <c r="DH63" s="75">
        <f t="shared" si="99"/>
        <v>0</v>
      </c>
      <c r="DI63" s="75"/>
      <c r="DJ63" s="75">
        <f t="shared" si="100"/>
        <v>0</v>
      </c>
      <c r="DK63" s="75">
        <f t="shared" si="100"/>
        <v>0</v>
      </c>
      <c r="DL63" s="75">
        <f t="shared" si="100"/>
        <v>0</v>
      </c>
      <c r="DM63" s="75">
        <f t="shared" si="101"/>
        <v>0</v>
      </c>
      <c r="DN63" s="75">
        <f t="shared" si="101"/>
        <v>1921500</v>
      </c>
      <c r="DO63" s="75">
        <f t="shared" si="101"/>
        <v>0</v>
      </c>
      <c r="DP63" s="75">
        <f t="shared" si="101"/>
        <v>0</v>
      </c>
      <c r="DQ63" s="75"/>
      <c r="DR63" s="75">
        <f t="shared" si="78"/>
        <v>0</v>
      </c>
    </row>
    <row r="64" spans="1:123" ht="51" customHeight="1" x14ac:dyDescent="0.25">
      <c r="A64" s="226"/>
      <c r="B64" s="81"/>
      <c r="C64" s="82" t="s">
        <v>310</v>
      </c>
      <c r="D64" s="81" t="s">
        <v>309</v>
      </c>
      <c r="E64" s="97">
        <v>410</v>
      </c>
      <c r="F64" s="78" t="s">
        <v>308</v>
      </c>
      <c r="G64" s="228"/>
      <c r="H64" s="79">
        <f t="shared" si="47"/>
        <v>17499959</v>
      </c>
      <c r="I64" s="79">
        <f t="shared" si="48"/>
        <v>46500041</v>
      </c>
      <c r="J64" s="78"/>
      <c r="K64" s="78"/>
      <c r="L64" s="78"/>
      <c r="M64" s="75">
        <f t="shared" si="49"/>
        <v>64000000</v>
      </c>
      <c r="N64" s="45"/>
      <c r="O64" s="45"/>
      <c r="P64" s="45"/>
      <c r="Q64" s="45"/>
      <c r="R64" s="45"/>
      <c r="S64" s="45"/>
      <c r="T64" s="45"/>
      <c r="U64" s="45"/>
      <c r="V64" s="45"/>
      <c r="W64" s="75"/>
      <c r="X64" s="75"/>
      <c r="Y64" s="75"/>
      <c r="Z64" s="75"/>
      <c r="AA64" s="75"/>
      <c r="AB64" s="75">
        <v>15000000</v>
      </c>
      <c r="AC64" s="75">
        <f>55000000-10000000</f>
        <v>45000000</v>
      </c>
      <c r="AD64" s="75"/>
      <c r="AE64" s="75"/>
      <c r="AF64" s="75"/>
      <c r="AG64" s="75">
        <f>4000000</f>
        <v>4000000</v>
      </c>
      <c r="AI64" s="25">
        <f t="shared" si="79"/>
        <v>1</v>
      </c>
      <c r="AJ64" s="75">
        <f t="shared" si="50"/>
        <v>64000000</v>
      </c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>
        <f>+'[5]FEBRERO 2015'!$W$753</f>
        <v>15000000</v>
      </c>
      <c r="AZ64" s="75">
        <f>+'[6]JUNIO 2015'!$Y$1453</f>
        <v>45000000</v>
      </c>
      <c r="BA64" s="75"/>
      <c r="BB64" s="75"/>
      <c r="BC64" s="75"/>
      <c r="BD64" s="75">
        <f>+'[2]JULIO 2015'!$AD$1691</f>
        <v>4000000</v>
      </c>
      <c r="BE64" s="25">
        <f t="shared" si="91"/>
        <v>0</v>
      </c>
      <c r="BF64" s="75">
        <f t="shared" si="51"/>
        <v>0</v>
      </c>
      <c r="BG64" s="75">
        <f t="shared" si="93"/>
        <v>0</v>
      </c>
      <c r="BH64" s="75"/>
      <c r="BI64" s="75">
        <f t="shared" si="92"/>
        <v>0</v>
      </c>
      <c r="BJ64" s="75">
        <f t="shared" si="94"/>
        <v>0</v>
      </c>
      <c r="BK64" s="75"/>
      <c r="BL64" s="75">
        <f t="shared" si="95"/>
        <v>0</v>
      </c>
      <c r="BM64" s="75">
        <f t="shared" si="95"/>
        <v>0</v>
      </c>
      <c r="BN64" s="75"/>
      <c r="BO64" s="75"/>
      <c r="BP64" s="75">
        <f t="shared" si="96"/>
        <v>0</v>
      </c>
      <c r="BQ64" s="75"/>
      <c r="BR64" s="75">
        <f t="shared" si="97"/>
        <v>0</v>
      </c>
      <c r="BS64" s="75">
        <f t="shared" si="97"/>
        <v>0</v>
      </c>
      <c r="BT64" s="75">
        <f t="shared" si="97"/>
        <v>0</v>
      </c>
      <c r="BU64" s="75">
        <f t="shared" si="97"/>
        <v>0</v>
      </c>
      <c r="BV64" s="75">
        <f t="shared" si="97"/>
        <v>0</v>
      </c>
      <c r="BW64" s="75">
        <f t="shared" si="97"/>
        <v>0</v>
      </c>
      <c r="BX64" s="75"/>
      <c r="BY64" s="75"/>
      <c r="BZ64" s="75">
        <f t="shared" si="63"/>
        <v>0</v>
      </c>
      <c r="CA64" s="25">
        <f t="shared" si="80"/>
        <v>0.27343685937500001</v>
      </c>
      <c r="CB64" s="75">
        <f t="shared" si="64"/>
        <v>17499959</v>
      </c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>
        <f>+'[2]JULIO 2015'!$H$1694</f>
        <v>14408959</v>
      </c>
      <c r="CR64" s="75">
        <f>+'[3]ABRIL 2015'!$H$1115</f>
        <v>3091000</v>
      </c>
      <c r="CS64" s="75"/>
      <c r="CT64" s="75"/>
      <c r="CU64" s="75"/>
      <c r="CV64" s="75"/>
      <c r="CW64" s="25">
        <f t="shared" si="81"/>
        <v>0.72656314062499994</v>
      </c>
      <c r="CX64" s="75">
        <f t="shared" si="65"/>
        <v>46500041</v>
      </c>
      <c r="CY64" s="75"/>
      <c r="CZ64" s="75"/>
      <c r="DA64" s="75"/>
      <c r="DB64" s="75">
        <f t="shared" si="102"/>
        <v>0</v>
      </c>
      <c r="DC64" s="75"/>
      <c r="DD64" s="75">
        <f t="shared" si="98"/>
        <v>0</v>
      </c>
      <c r="DE64" s="75">
        <f t="shared" si="98"/>
        <v>0</v>
      </c>
      <c r="DF64" s="75"/>
      <c r="DG64" s="75">
        <f t="shared" si="99"/>
        <v>0</v>
      </c>
      <c r="DH64" s="75">
        <f t="shared" si="99"/>
        <v>0</v>
      </c>
      <c r="DI64" s="75"/>
      <c r="DJ64" s="75">
        <f t="shared" si="100"/>
        <v>0</v>
      </c>
      <c r="DK64" s="75">
        <f t="shared" si="100"/>
        <v>0</v>
      </c>
      <c r="DL64" s="75">
        <f t="shared" si="100"/>
        <v>0</v>
      </c>
      <c r="DM64" s="75">
        <f t="shared" si="101"/>
        <v>591041</v>
      </c>
      <c r="DN64" s="75">
        <f t="shared" si="101"/>
        <v>41909000</v>
      </c>
      <c r="DO64" s="75">
        <f t="shared" si="101"/>
        <v>0</v>
      </c>
      <c r="DP64" s="75">
        <f t="shared" si="101"/>
        <v>0</v>
      </c>
      <c r="DQ64" s="75"/>
      <c r="DR64" s="75">
        <f t="shared" si="78"/>
        <v>4000000</v>
      </c>
    </row>
    <row r="65" spans="1:122" ht="36" customHeight="1" x14ac:dyDescent="0.25">
      <c r="A65" s="226"/>
      <c r="B65" s="81"/>
      <c r="C65" s="82" t="s">
        <v>307</v>
      </c>
      <c r="D65" s="81" t="s">
        <v>306</v>
      </c>
      <c r="E65" s="97">
        <v>410</v>
      </c>
      <c r="F65" s="78" t="s">
        <v>270</v>
      </c>
      <c r="G65" s="228"/>
      <c r="H65" s="79">
        <f t="shared" si="47"/>
        <v>10299628</v>
      </c>
      <c r="I65" s="79">
        <f t="shared" si="48"/>
        <v>29700372</v>
      </c>
      <c r="J65" s="78"/>
      <c r="K65" s="78"/>
      <c r="L65" s="78"/>
      <c r="M65" s="75">
        <f t="shared" si="49"/>
        <v>40000000</v>
      </c>
      <c r="N65" s="45"/>
      <c r="O65" s="45"/>
      <c r="P65" s="45"/>
      <c r="Q65" s="45"/>
      <c r="R65" s="45"/>
      <c r="S65" s="45"/>
      <c r="T65" s="45"/>
      <c r="U65" s="45"/>
      <c r="V65" s="45"/>
      <c r="W65" s="75"/>
      <c r="X65" s="75"/>
      <c r="Y65" s="75"/>
      <c r="Z65" s="75"/>
      <c r="AA65" s="75">
        <v>21280016</v>
      </c>
      <c r="AB65" s="75">
        <v>15000000</v>
      </c>
      <c r="AC65" s="75">
        <f>13719984-10000000</f>
        <v>3719984</v>
      </c>
      <c r="AD65" s="75"/>
      <c r="AE65" s="75"/>
      <c r="AF65" s="75"/>
      <c r="AG65" s="75"/>
      <c r="AI65" s="25">
        <f t="shared" si="79"/>
        <v>0.75</v>
      </c>
      <c r="AJ65" s="75">
        <f t="shared" si="50"/>
        <v>30000000</v>
      </c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>
        <f>+'[6]JUNIO 2015'!$W$1466</f>
        <v>11280016</v>
      </c>
      <c r="AY65" s="75">
        <f>+'[5]FEBRERO 2015'!$W$759</f>
        <v>15000000</v>
      </c>
      <c r="AZ65" s="75">
        <v>3719984</v>
      </c>
      <c r="BA65" s="75"/>
      <c r="BB65" s="75"/>
      <c r="BC65" s="75"/>
      <c r="BD65" s="75"/>
      <c r="BE65" s="25">
        <f t="shared" si="91"/>
        <v>0.25</v>
      </c>
      <c r="BF65" s="75">
        <f t="shared" si="51"/>
        <v>10000000</v>
      </c>
      <c r="BG65" s="75">
        <f t="shared" si="93"/>
        <v>0</v>
      </c>
      <c r="BH65" s="75"/>
      <c r="BI65" s="75">
        <f t="shared" si="92"/>
        <v>0</v>
      </c>
      <c r="BJ65" s="75">
        <f t="shared" si="94"/>
        <v>0</v>
      </c>
      <c r="BK65" s="75"/>
      <c r="BL65" s="75">
        <f t="shared" si="95"/>
        <v>0</v>
      </c>
      <c r="BM65" s="75">
        <f t="shared" si="95"/>
        <v>0</v>
      </c>
      <c r="BN65" s="75"/>
      <c r="BO65" s="75"/>
      <c r="BP65" s="75">
        <f t="shared" si="96"/>
        <v>0</v>
      </c>
      <c r="BQ65" s="75"/>
      <c r="BR65" s="75">
        <f t="shared" si="97"/>
        <v>0</v>
      </c>
      <c r="BS65" s="75">
        <f t="shared" si="97"/>
        <v>0</v>
      </c>
      <c r="BT65" s="75">
        <f t="shared" si="97"/>
        <v>10000000</v>
      </c>
      <c r="BU65" s="75">
        <f t="shared" si="97"/>
        <v>0</v>
      </c>
      <c r="BV65" s="75">
        <f t="shared" si="97"/>
        <v>0</v>
      </c>
      <c r="BW65" s="75">
        <f t="shared" si="97"/>
        <v>0</v>
      </c>
      <c r="BX65" s="75"/>
      <c r="BY65" s="75"/>
      <c r="BZ65" s="75">
        <f t="shared" si="63"/>
        <v>0</v>
      </c>
      <c r="CA65" s="25">
        <f t="shared" si="80"/>
        <v>0.25749070000000002</v>
      </c>
      <c r="CB65" s="75">
        <f t="shared" si="64"/>
        <v>10299628</v>
      </c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>
        <f>+'[3]ABRIL 2015'!$H$1128</f>
        <v>4466293</v>
      </c>
      <c r="CQ65" s="75">
        <f>+'[2]JULIO 2015'!$H$1726</f>
        <v>5833335</v>
      </c>
      <c r="CR65" s="75"/>
      <c r="CS65" s="75"/>
      <c r="CT65" s="75"/>
      <c r="CU65" s="75"/>
      <c r="CV65" s="75"/>
      <c r="CW65" s="25">
        <f t="shared" si="81"/>
        <v>0.74250930000000004</v>
      </c>
      <c r="CX65" s="75">
        <f t="shared" si="65"/>
        <v>29700372</v>
      </c>
      <c r="CY65" s="75"/>
      <c r="CZ65" s="75"/>
      <c r="DA65" s="75"/>
      <c r="DB65" s="75">
        <f t="shared" si="102"/>
        <v>0</v>
      </c>
      <c r="DC65" s="75"/>
      <c r="DD65" s="75">
        <f t="shared" si="98"/>
        <v>0</v>
      </c>
      <c r="DE65" s="75">
        <f t="shared" si="98"/>
        <v>0</v>
      </c>
      <c r="DF65" s="75"/>
      <c r="DG65" s="75">
        <f t="shared" si="99"/>
        <v>0</v>
      </c>
      <c r="DH65" s="75">
        <f t="shared" si="99"/>
        <v>0</v>
      </c>
      <c r="DI65" s="75"/>
      <c r="DJ65" s="75">
        <f t="shared" si="100"/>
        <v>0</v>
      </c>
      <c r="DK65" s="75">
        <f t="shared" si="100"/>
        <v>0</v>
      </c>
      <c r="DL65" s="75">
        <f t="shared" si="100"/>
        <v>16813723</v>
      </c>
      <c r="DM65" s="75">
        <f t="shared" si="101"/>
        <v>9166665</v>
      </c>
      <c r="DN65" s="75">
        <f t="shared" si="101"/>
        <v>3719984</v>
      </c>
      <c r="DO65" s="75">
        <f t="shared" si="101"/>
        <v>0</v>
      </c>
      <c r="DP65" s="75">
        <f t="shared" si="101"/>
        <v>0</v>
      </c>
      <c r="DQ65" s="75"/>
      <c r="DR65" s="75">
        <f t="shared" si="78"/>
        <v>0</v>
      </c>
    </row>
    <row r="66" spans="1:122" ht="39.75" customHeight="1" x14ac:dyDescent="0.25">
      <c r="A66" s="239"/>
      <c r="B66" s="81"/>
      <c r="C66" s="82" t="s">
        <v>305</v>
      </c>
      <c r="D66" s="81" t="s">
        <v>304</v>
      </c>
      <c r="E66" s="97">
        <v>410</v>
      </c>
      <c r="F66" s="78" t="s">
        <v>303</v>
      </c>
      <c r="G66" s="229"/>
      <c r="H66" s="79">
        <f t="shared" si="47"/>
        <v>8000000</v>
      </c>
      <c r="I66" s="79">
        <f t="shared" si="48"/>
        <v>8437254</v>
      </c>
      <c r="J66" s="78"/>
      <c r="K66" s="78"/>
      <c r="L66" s="78"/>
      <c r="M66" s="75">
        <f t="shared" si="49"/>
        <v>16437254</v>
      </c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24"/>
      <c r="Z66" s="45"/>
      <c r="AA66" s="45"/>
      <c r="AB66" s="45"/>
      <c r="AC66" s="45"/>
      <c r="AD66" s="45"/>
      <c r="AE66" s="45"/>
      <c r="AF66" s="45"/>
      <c r="AG66" s="75">
        <f>20437254-4000000</f>
        <v>16437254</v>
      </c>
      <c r="AI66" s="25">
        <f t="shared" si="79"/>
        <v>1</v>
      </c>
      <c r="AJ66" s="75">
        <f t="shared" si="50"/>
        <v>16437254</v>
      </c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>
        <v>16437254</v>
      </c>
      <c r="BE66" s="25">
        <f t="shared" si="91"/>
        <v>0</v>
      </c>
      <c r="BF66" s="75">
        <f t="shared" si="51"/>
        <v>0</v>
      </c>
      <c r="BG66" s="75">
        <f t="shared" si="93"/>
        <v>0</v>
      </c>
      <c r="BH66" s="75"/>
      <c r="BI66" s="75">
        <f t="shared" si="92"/>
        <v>0</v>
      </c>
      <c r="BJ66" s="75">
        <f t="shared" si="94"/>
        <v>0</v>
      </c>
      <c r="BK66" s="75"/>
      <c r="BL66" s="75">
        <f t="shared" si="95"/>
        <v>0</v>
      </c>
      <c r="BM66" s="75">
        <f t="shared" si="95"/>
        <v>0</v>
      </c>
      <c r="BN66" s="75"/>
      <c r="BO66" s="75">
        <f>+V66-AS66</f>
        <v>0</v>
      </c>
      <c r="BP66" s="75">
        <f t="shared" si="96"/>
        <v>0</v>
      </c>
      <c r="BQ66" s="75">
        <f>+X66-AU66</f>
        <v>0</v>
      </c>
      <c r="BR66" s="75">
        <f t="shared" si="97"/>
        <v>0</v>
      </c>
      <c r="BS66" s="75">
        <f t="shared" si="97"/>
        <v>0</v>
      </c>
      <c r="BT66" s="75">
        <f t="shared" si="97"/>
        <v>0</v>
      </c>
      <c r="BU66" s="75">
        <f t="shared" si="97"/>
        <v>0</v>
      </c>
      <c r="BV66" s="75">
        <f t="shared" si="97"/>
        <v>0</v>
      </c>
      <c r="BW66" s="75">
        <f t="shared" si="97"/>
        <v>0</v>
      </c>
      <c r="BX66" s="75">
        <f>+AE66-BB66</f>
        <v>0</v>
      </c>
      <c r="BY66" s="75">
        <f>+AF66-BC66</f>
        <v>0</v>
      </c>
      <c r="BZ66" s="75">
        <f t="shared" si="63"/>
        <v>0</v>
      </c>
      <c r="CA66" s="25">
        <f t="shared" si="80"/>
        <v>0.48669929904350201</v>
      </c>
      <c r="CB66" s="75">
        <f t="shared" si="64"/>
        <v>8000000</v>
      </c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>
        <f>+'[5]FEBRERO 2015'!$H$763</f>
        <v>8000000</v>
      </c>
      <c r="CW66" s="25">
        <f t="shared" si="81"/>
        <v>0.51330070095649805</v>
      </c>
      <c r="CX66" s="75">
        <f t="shared" si="65"/>
        <v>8437254</v>
      </c>
      <c r="CY66" s="75"/>
      <c r="CZ66" s="75">
        <f>O66-CD66</f>
        <v>0</v>
      </c>
      <c r="DA66" s="75"/>
      <c r="DB66" s="75">
        <f t="shared" si="102"/>
        <v>0</v>
      </c>
      <c r="DC66" s="75"/>
      <c r="DD66" s="75">
        <f t="shared" si="98"/>
        <v>0</v>
      </c>
      <c r="DE66" s="75">
        <f t="shared" si="98"/>
        <v>0</v>
      </c>
      <c r="DF66" s="75"/>
      <c r="DG66" s="75">
        <f t="shared" si="99"/>
        <v>0</v>
      </c>
      <c r="DH66" s="75">
        <f t="shared" si="99"/>
        <v>0</v>
      </c>
      <c r="DI66" s="75"/>
      <c r="DJ66" s="75">
        <f t="shared" si="100"/>
        <v>0</v>
      </c>
      <c r="DK66" s="75">
        <f t="shared" si="100"/>
        <v>0</v>
      </c>
      <c r="DL66" s="75">
        <f t="shared" si="100"/>
        <v>0</v>
      </c>
      <c r="DM66" s="75">
        <f t="shared" si="101"/>
        <v>0</v>
      </c>
      <c r="DN66" s="75">
        <f t="shared" si="101"/>
        <v>0</v>
      </c>
      <c r="DO66" s="75">
        <f t="shared" si="101"/>
        <v>0</v>
      </c>
      <c r="DP66" s="75">
        <f t="shared" si="101"/>
        <v>0</v>
      </c>
      <c r="DQ66" s="75"/>
      <c r="DR66" s="75">
        <f t="shared" si="78"/>
        <v>8437254</v>
      </c>
    </row>
    <row r="67" spans="1:122" s="68" customFormat="1" ht="22.5" customHeight="1" thickBot="1" x14ac:dyDescent="0.3">
      <c r="A67" s="124"/>
      <c r="B67" s="241" t="s">
        <v>302</v>
      </c>
      <c r="C67" s="241"/>
      <c r="D67" s="241"/>
      <c r="E67" s="241"/>
      <c r="F67" s="123"/>
      <c r="G67" s="69">
        <f>SUM(G35:G66)</f>
        <v>4593000000</v>
      </c>
      <c r="H67" s="69">
        <f>SUM(H35:H66)</f>
        <v>3115857051</v>
      </c>
      <c r="I67" s="69">
        <f>SUM(I35:I66)</f>
        <v>3366660918</v>
      </c>
      <c r="J67" s="122"/>
      <c r="K67" s="122"/>
      <c r="L67" s="122"/>
      <c r="M67" s="69">
        <f t="shared" ref="M67:AG67" si="103">SUM(M35:M66)</f>
        <v>6482517969</v>
      </c>
      <c r="N67" s="69">
        <f t="shared" si="103"/>
        <v>0</v>
      </c>
      <c r="O67" s="69">
        <f t="shared" si="103"/>
        <v>134533656</v>
      </c>
      <c r="P67" s="69">
        <f t="shared" si="103"/>
        <v>396726534</v>
      </c>
      <c r="Q67" s="69">
        <f t="shared" si="103"/>
        <v>775722031</v>
      </c>
      <c r="R67" s="69">
        <f t="shared" si="103"/>
        <v>0</v>
      </c>
      <c r="S67" s="69">
        <f t="shared" si="103"/>
        <v>544180877</v>
      </c>
      <c r="T67" s="69">
        <f t="shared" si="103"/>
        <v>55000000</v>
      </c>
      <c r="U67" s="69">
        <f t="shared" si="103"/>
        <v>102810569</v>
      </c>
      <c r="V67" s="69">
        <f t="shared" si="103"/>
        <v>219471348</v>
      </c>
      <c r="W67" s="69">
        <f t="shared" si="103"/>
        <v>0</v>
      </c>
      <c r="X67" s="69">
        <f t="shared" si="103"/>
        <v>0</v>
      </c>
      <c r="Y67" s="69">
        <f t="shared" si="103"/>
        <v>0</v>
      </c>
      <c r="Z67" s="69">
        <f t="shared" si="103"/>
        <v>3504013680</v>
      </c>
      <c r="AA67" s="69">
        <f t="shared" si="103"/>
        <v>78609139</v>
      </c>
      <c r="AB67" s="69">
        <f t="shared" si="103"/>
        <v>251718083</v>
      </c>
      <c r="AC67" s="69">
        <f t="shared" si="103"/>
        <v>261973650</v>
      </c>
      <c r="AD67" s="69">
        <f t="shared" si="103"/>
        <v>0</v>
      </c>
      <c r="AE67" s="69">
        <f t="shared" si="103"/>
        <v>80844085</v>
      </c>
      <c r="AF67" s="69">
        <f t="shared" si="103"/>
        <v>0</v>
      </c>
      <c r="AG67" s="69">
        <f t="shared" si="103"/>
        <v>76914317</v>
      </c>
      <c r="AI67" s="121">
        <f t="shared" si="79"/>
        <v>0.81929652943473397</v>
      </c>
      <c r="AJ67" s="69">
        <f t="shared" ref="AJ67:BD67" si="104">SUM(AJ35:AJ66)</f>
        <v>5311104474</v>
      </c>
      <c r="AK67" s="69">
        <f t="shared" si="104"/>
        <v>0</v>
      </c>
      <c r="AL67" s="69">
        <f t="shared" si="104"/>
        <v>133268976</v>
      </c>
      <c r="AM67" s="69">
        <f t="shared" si="104"/>
        <v>396726534</v>
      </c>
      <c r="AN67" s="69">
        <f t="shared" si="104"/>
        <v>775722031</v>
      </c>
      <c r="AO67" s="69">
        <f t="shared" si="104"/>
        <v>0</v>
      </c>
      <c r="AP67" s="69">
        <f t="shared" si="104"/>
        <v>544180877</v>
      </c>
      <c r="AQ67" s="69">
        <f t="shared" si="104"/>
        <v>55000000</v>
      </c>
      <c r="AR67" s="69">
        <f t="shared" si="104"/>
        <v>102810569</v>
      </c>
      <c r="AS67" s="69">
        <f t="shared" si="104"/>
        <v>219471348</v>
      </c>
      <c r="AT67" s="69">
        <f t="shared" si="104"/>
        <v>0</v>
      </c>
      <c r="AU67" s="69">
        <f t="shared" si="104"/>
        <v>0</v>
      </c>
      <c r="AV67" s="69">
        <f t="shared" si="104"/>
        <v>0</v>
      </c>
      <c r="AW67" s="69">
        <f t="shared" si="104"/>
        <v>2385795017</v>
      </c>
      <c r="AX67" s="69">
        <f t="shared" si="104"/>
        <v>68609139</v>
      </c>
      <c r="AY67" s="69">
        <f t="shared" si="104"/>
        <v>235765054</v>
      </c>
      <c r="AZ67" s="69">
        <f t="shared" si="104"/>
        <v>261973590</v>
      </c>
      <c r="BA67" s="69">
        <f t="shared" si="104"/>
        <v>0</v>
      </c>
      <c r="BB67" s="69">
        <f t="shared" si="104"/>
        <v>80844085</v>
      </c>
      <c r="BC67" s="69">
        <f t="shared" si="104"/>
        <v>0</v>
      </c>
      <c r="BD67" s="69">
        <f t="shared" si="104"/>
        <v>50937254</v>
      </c>
      <c r="BE67" s="121">
        <f t="shared" si="91"/>
        <v>0.18070347056526603</v>
      </c>
      <c r="BF67" s="69">
        <f t="shared" ref="BF67:BZ67" si="105">SUM(BF35:BF66)</f>
        <v>1171413495</v>
      </c>
      <c r="BG67" s="69">
        <f t="shared" si="105"/>
        <v>0</v>
      </c>
      <c r="BH67" s="69">
        <f t="shared" si="105"/>
        <v>1264680</v>
      </c>
      <c r="BI67" s="69">
        <f t="shared" si="105"/>
        <v>0</v>
      </c>
      <c r="BJ67" s="69">
        <f t="shared" si="105"/>
        <v>0</v>
      </c>
      <c r="BK67" s="69">
        <f t="shared" si="105"/>
        <v>0</v>
      </c>
      <c r="BL67" s="69">
        <f t="shared" si="105"/>
        <v>0</v>
      </c>
      <c r="BM67" s="69">
        <f t="shared" si="105"/>
        <v>0</v>
      </c>
      <c r="BN67" s="69">
        <f t="shared" si="105"/>
        <v>0</v>
      </c>
      <c r="BO67" s="69">
        <f t="shared" si="105"/>
        <v>0</v>
      </c>
      <c r="BP67" s="69">
        <f t="shared" si="105"/>
        <v>0</v>
      </c>
      <c r="BQ67" s="69">
        <f t="shared" si="105"/>
        <v>0</v>
      </c>
      <c r="BR67" s="69">
        <f t="shared" si="105"/>
        <v>0</v>
      </c>
      <c r="BS67" s="69">
        <f t="shared" si="105"/>
        <v>1118218663</v>
      </c>
      <c r="BT67" s="69">
        <f t="shared" si="105"/>
        <v>10000000</v>
      </c>
      <c r="BU67" s="69">
        <f t="shared" si="105"/>
        <v>15953029</v>
      </c>
      <c r="BV67" s="69">
        <f t="shared" si="105"/>
        <v>60</v>
      </c>
      <c r="BW67" s="69">
        <f t="shared" si="105"/>
        <v>0</v>
      </c>
      <c r="BX67" s="69">
        <f t="shared" si="105"/>
        <v>0</v>
      </c>
      <c r="BY67" s="69">
        <f t="shared" si="105"/>
        <v>0</v>
      </c>
      <c r="BZ67" s="69">
        <f t="shared" si="105"/>
        <v>25977063</v>
      </c>
      <c r="CA67" s="121">
        <f t="shared" si="80"/>
        <v>0.48065536661839064</v>
      </c>
      <c r="CB67" s="69">
        <f t="shared" ref="CB67:DR67" si="106">SUM(CB35:CB66)</f>
        <v>3115857051</v>
      </c>
      <c r="CC67" s="69">
        <f t="shared" si="106"/>
        <v>0</v>
      </c>
      <c r="CD67" s="69">
        <f t="shared" si="106"/>
        <v>133268976</v>
      </c>
      <c r="CE67" s="69">
        <f t="shared" si="106"/>
        <v>396726534</v>
      </c>
      <c r="CF67" s="69">
        <f t="shared" si="106"/>
        <v>560309881</v>
      </c>
      <c r="CG67" s="69">
        <f t="shared" si="106"/>
        <v>0</v>
      </c>
      <c r="CH67" s="69">
        <f t="shared" si="106"/>
        <v>373292464</v>
      </c>
      <c r="CI67" s="69">
        <f t="shared" si="106"/>
        <v>36214247</v>
      </c>
      <c r="CJ67" s="69">
        <f t="shared" si="106"/>
        <v>102810569</v>
      </c>
      <c r="CK67" s="69">
        <f t="shared" si="106"/>
        <v>127534316</v>
      </c>
      <c r="CL67" s="69">
        <f t="shared" si="106"/>
        <v>0</v>
      </c>
      <c r="CM67" s="69">
        <f t="shared" si="106"/>
        <v>0</v>
      </c>
      <c r="CN67" s="69">
        <f t="shared" si="106"/>
        <v>0</v>
      </c>
      <c r="CO67" s="69">
        <f t="shared" si="106"/>
        <v>1103661099</v>
      </c>
      <c r="CP67" s="69">
        <f t="shared" si="106"/>
        <v>48706082</v>
      </c>
      <c r="CQ67" s="69">
        <f t="shared" si="106"/>
        <v>136779453</v>
      </c>
      <c r="CR67" s="69">
        <f t="shared" si="106"/>
        <v>56878541</v>
      </c>
      <c r="CS67" s="69">
        <f t="shared" si="106"/>
        <v>0</v>
      </c>
      <c r="CT67" s="69">
        <f t="shared" si="106"/>
        <v>25815097</v>
      </c>
      <c r="CU67" s="69">
        <f t="shared" si="106"/>
        <v>0</v>
      </c>
      <c r="CV67" s="69">
        <f t="shared" si="106"/>
        <v>13859792</v>
      </c>
      <c r="CW67" s="69">
        <f t="shared" si="106"/>
        <v>16.645212661595231</v>
      </c>
      <c r="CX67" s="69">
        <f t="shared" si="106"/>
        <v>3366660918</v>
      </c>
      <c r="CY67" s="69">
        <f t="shared" si="106"/>
        <v>0</v>
      </c>
      <c r="CZ67" s="69">
        <f t="shared" si="106"/>
        <v>1264680</v>
      </c>
      <c r="DA67" s="69">
        <f t="shared" si="106"/>
        <v>0</v>
      </c>
      <c r="DB67" s="69">
        <f t="shared" si="106"/>
        <v>215412150</v>
      </c>
      <c r="DC67" s="69">
        <f t="shared" si="106"/>
        <v>0</v>
      </c>
      <c r="DD67" s="69">
        <f t="shared" si="106"/>
        <v>170888413</v>
      </c>
      <c r="DE67" s="69">
        <f t="shared" si="106"/>
        <v>18785753</v>
      </c>
      <c r="DF67" s="69">
        <f t="shared" si="106"/>
        <v>0</v>
      </c>
      <c r="DG67" s="69">
        <f t="shared" si="106"/>
        <v>91937032</v>
      </c>
      <c r="DH67" s="69">
        <f t="shared" si="106"/>
        <v>0</v>
      </c>
      <c r="DI67" s="69">
        <f t="shared" si="106"/>
        <v>0</v>
      </c>
      <c r="DJ67" s="69">
        <f t="shared" si="106"/>
        <v>0</v>
      </c>
      <c r="DK67" s="69">
        <f t="shared" si="106"/>
        <v>2400352581</v>
      </c>
      <c r="DL67" s="69">
        <f t="shared" si="106"/>
        <v>29903057</v>
      </c>
      <c r="DM67" s="69">
        <f t="shared" si="106"/>
        <v>114938630</v>
      </c>
      <c r="DN67" s="69">
        <f t="shared" si="106"/>
        <v>205095109</v>
      </c>
      <c r="DO67" s="69">
        <f t="shared" si="106"/>
        <v>0</v>
      </c>
      <c r="DP67" s="69">
        <f t="shared" si="106"/>
        <v>55028988</v>
      </c>
      <c r="DQ67" s="69">
        <f t="shared" si="106"/>
        <v>0</v>
      </c>
      <c r="DR67" s="120">
        <f t="shared" si="106"/>
        <v>63054525</v>
      </c>
    </row>
    <row r="68" spans="1:122" ht="54" customHeight="1" thickTop="1" x14ac:dyDescent="0.25">
      <c r="A68" s="242" t="s">
        <v>301</v>
      </c>
      <c r="B68" s="81" t="s">
        <v>300</v>
      </c>
      <c r="C68" s="82" t="s">
        <v>299</v>
      </c>
      <c r="D68" s="81" t="s">
        <v>298</v>
      </c>
      <c r="E68" s="97">
        <v>520</v>
      </c>
      <c r="F68" s="78" t="s">
        <v>297</v>
      </c>
      <c r="G68" s="240">
        <v>331000000</v>
      </c>
      <c r="H68" s="79">
        <f t="shared" ref="H68:H102" si="107">+CB68</f>
        <v>837000</v>
      </c>
      <c r="I68" s="79">
        <f t="shared" ref="I68:I102" si="108">M68-H68</f>
        <v>2163000</v>
      </c>
      <c r="J68" s="78"/>
      <c r="K68" s="78"/>
      <c r="L68" s="78"/>
      <c r="M68" s="75">
        <f t="shared" ref="M68:M102" si="109">SUM(N68:AG68)</f>
        <v>3000000</v>
      </c>
      <c r="N68" s="4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>
        <f>2000000+1000000</f>
        <v>3000000</v>
      </c>
      <c r="AI68" s="25">
        <f t="shared" ref="AI68:AI99" si="110">+AJ68/M68</f>
        <v>1</v>
      </c>
      <c r="AJ68" s="75">
        <f t="shared" ref="AJ68:AJ102" si="111">SUM(AK68:BD68)</f>
        <v>3000000</v>
      </c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>
        <f>+'[2]JULIO 2015'!$AD$2136</f>
        <v>3000000</v>
      </c>
      <c r="BE68" s="25">
        <f t="shared" si="91"/>
        <v>0</v>
      </c>
      <c r="BF68" s="75">
        <f t="shared" ref="BF68:BF102" si="112">SUM(BG68:BZ68)</f>
        <v>0</v>
      </c>
      <c r="BG68" s="75">
        <f t="shared" ref="BG68:BG102" si="113">+N68-AK68</f>
        <v>0</v>
      </c>
      <c r="BH68" s="75">
        <f t="shared" ref="BH68:BH102" si="114">O68-AL68</f>
        <v>0</v>
      </c>
      <c r="BI68" s="75"/>
      <c r="BJ68" s="75">
        <f t="shared" ref="BJ68:BJ102" si="115">Q68-AN68</f>
        <v>0</v>
      </c>
      <c r="BK68" s="75"/>
      <c r="BL68" s="75">
        <f t="shared" ref="BL68:BL102" si="116">+S68-AP68</f>
        <v>0</v>
      </c>
      <c r="BM68" s="75">
        <f t="shared" ref="BM68:BM102" si="117">+T68-AQ68</f>
        <v>0</v>
      </c>
      <c r="BN68" s="75"/>
      <c r="BO68" s="75">
        <f t="shared" ref="BO68:BW68" si="118">+V68-AS68</f>
        <v>0</v>
      </c>
      <c r="BP68" s="75">
        <f t="shared" si="118"/>
        <v>0</v>
      </c>
      <c r="BQ68" s="75">
        <f t="shared" si="118"/>
        <v>0</v>
      </c>
      <c r="BR68" s="75">
        <f t="shared" si="118"/>
        <v>0</v>
      </c>
      <c r="BS68" s="75">
        <f t="shared" si="118"/>
        <v>0</v>
      </c>
      <c r="BT68" s="75">
        <f t="shared" si="118"/>
        <v>0</v>
      </c>
      <c r="BU68" s="75">
        <f t="shared" si="118"/>
        <v>0</v>
      </c>
      <c r="BV68" s="75">
        <f t="shared" si="118"/>
        <v>0</v>
      </c>
      <c r="BW68" s="75">
        <f t="shared" si="118"/>
        <v>0</v>
      </c>
      <c r="BX68" s="75"/>
      <c r="BY68" s="75"/>
      <c r="BZ68" s="75">
        <f t="shared" ref="BZ68:BZ102" si="119">+AG68-BD68</f>
        <v>0</v>
      </c>
      <c r="CA68" s="25">
        <f t="shared" ref="CA68:CA99" si="120">+CB68/M68</f>
        <v>0.27900000000000003</v>
      </c>
      <c r="CB68" s="75">
        <f t="shared" ref="CB68:CB102" si="121">SUM(CC68:CV68)</f>
        <v>837000</v>
      </c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  <c r="CR68" s="75"/>
      <c r="CS68" s="75"/>
      <c r="CT68" s="75"/>
      <c r="CU68" s="75"/>
      <c r="CV68" s="75">
        <f>+'[2]JULIO 2015'!$H$2134</f>
        <v>837000</v>
      </c>
      <c r="CW68" s="25">
        <f t="shared" ref="CW68:CW103" si="122">1-CA68</f>
        <v>0.72099999999999997</v>
      </c>
      <c r="CX68" s="75">
        <f t="shared" ref="CX68:CX102" si="123">SUM(CY68:DR68)</f>
        <v>2163000</v>
      </c>
      <c r="CY68" s="75"/>
      <c r="CZ68" s="75"/>
      <c r="DA68" s="75"/>
      <c r="DB68" s="75">
        <f t="shared" ref="DB68:DB102" si="124">Q68-CF68</f>
        <v>0</v>
      </c>
      <c r="DC68" s="75"/>
      <c r="DD68" s="75">
        <f t="shared" ref="DD68:DD102" si="125">S68-CH68</f>
        <v>0</v>
      </c>
      <c r="DE68" s="75">
        <f t="shared" ref="DE68:DE102" si="126">T68-CI68</f>
        <v>0</v>
      </c>
      <c r="DF68" s="75"/>
      <c r="DG68" s="75">
        <f t="shared" ref="DG68:DG102" si="127">+V68-CK68</f>
        <v>0</v>
      </c>
      <c r="DH68" s="75">
        <f t="shared" ref="DH68:DH102" si="128">+W68-CL68</f>
        <v>0</v>
      </c>
      <c r="DI68" s="75"/>
      <c r="DJ68" s="75">
        <f t="shared" ref="DJ68:DJ102" si="129">Y68-CN68</f>
        <v>0</v>
      </c>
      <c r="DK68" s="75">
        <f t="shared" ref="DK68:DK102" si="130">Z68-CO68</f>
        <v>0</v>
      </c>
      <c r="DL68" s="75">
        <f t="shared" ref="DL68:DL102" si="131">AA68-CP68</f>
        <v>0</v>
      </c>
      <c r="DM68" s="75">
        <f t="shared" ref="DM68:DM102" si="132">+AB68-CQ68</f>
        <v>0</v>
      </c>
      <c r="DN68" s="75">
        <f t="shared" ref="DN68:DN102" si="133">+AC68-CR68</f>
        <v>0</v>
      </c>
      <c r="DO68" s="75">
        <f t="shared" ref="DO68:DO102" si="134">+AD68-CS68</f>
        <v>0</v>
      </c>
      <c r="DP68" s="75">
        <f t="shared" ref="DP68:DP102" si="135">+AE68-CT68</f>
        <v>0</v>
      </c>
      <c r="DQ68" s="75"/>
      <c r="DR68" s="75">
        <f t="shared" ref="DR68:DR102" si="136">+AG68-CV68</f>
        <v>2163000</v>
      </c>
    </row>
    <row r="69" spans="1:122" ht="30.75" customHeight="1" x14ac:dyDescent="0.25">
      <c r="A69" s="242"/>
      <c r="B69" s="81"/>
      <c r="C69" s="82" t="s">
        <v>296</v>
      </c>
      <c r="D69" s="81" t="s">
        <v>295</v>
      </c>
      <c r="E69" s="97">
        <v>520</v>
      </c>
      <c r="F69" s="78" t="s">
        <v>214</v>
      </c>
      <c r="G69" s="228"/>
      <c r="H69" s="79">
        <f t="shared" si="107"/>
        <v>14888393</v>
      </c>
      <c r="I69" s="79">
        <f t="shared" si="108"/>
        <v>15111607</v>
      </c>
      <c r="J69" s="78"/>
      <c r="K69" s="78"/>
      <c r="L69" s="78"/>
      <c r="M69" s="75">
        <f t="shared" si="109"/>
        <v>30000000</v>
      </c>
      <c r="N69" s="75"/>
      <c r="O69" s="75"/>
      <c r="P69" s="75"/>
      <c r="Q69" s="75"/>
      <c r="R69" s="75"/>
      <c r="S69" s="75">
        <f>50000000-20000000</f>
        <v>30000000</v>
      </c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I69" s="25">
        <f t="shared" si="110"/>
        <v>1</v>
      </c>
      <c r="AJ69" s="75">
        <f t="shared" si="111"/>
        <v>30000000</v>
      </c>
      <c r="AK69" s="75"/>
      <c r="AL69" s="75"/>
      <c r="AM69" s="75"/>
      <c r="AN69" s="75"/>
      <c r="AO69" s="75"/>
      <c r="AP69" s="75">
        <f>+'[8]FEBRERO 2015'!$N$1017-20000000</f>
        <v>30000000</v>
      </c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25">
        <f t="shared" si="91"/>
        <v>0</v>
      </c>
      <c r="BF69" s="75">
        <f t="shared" si="112"/>
        <v>0</v>
      </c>
      <c r="BG69" s="75">
        <f t="shared" si="113"/>
        <v>0</v>
      </c>
      <c r="BH69" s="75">
        <f t="shared" si="114"/>
        <v>0</v>
      </c>
      <c r="BI69" s="75"/>
      <c r="BJ69" s="75">
        <f t="shared" si="115"/>
        <v>0</v>
      </c>
      <c r="BK69" s="75"/>
      <c r="BL69" s="75">
        <f t="shared" si="116"/>
        <v>0</v>
      </c>
      <c r="BM69" s="75">
        <f t="shared" si="117"/>
        <v>0</v>
      </c>
      <c r="BN69" s="75"/>
      <c r="BO69" s="75"/>
      <c r="BP69" s="75">
        <f t="shared" ref="BP69:BP102" si="137">+W69-AT69</f>
        <v>0</v>
      </c>
      <c r="BQ69" s="75"/>
      <c r="BR69" s="75">
        <f t="shared" ref="BR69:BW75" si="138">+Y69-AV69</f>
        <v>0</v>
      </c>
      <c r="BS69" s="75">
        <f t="shared" si="138"/>
        <v>0</v>
      </c>
      <c r="BT69" s="75">
        <f t="shared" si="138"/>
        <v>0</v>
      </c>
      <c r="BU69" s="75">
        <f t="shared" si="138"/>
        <v>0</v>
      </c>
      <c r="BV69" s="75">
        <f t="shared" si="138"/>
        <v>0</v>
      </c>
      <c r="BW69" s="75">
        <f t="shared" si="138"/>
        <v>0</v>
      </c>
      <c r="BX69" s="75"/>
      <c r="BY69" s="75"/>
      <c r="BZ69" s="75">
        <f t="shared" si="119"/>
        <v>0</v>
      </c>
      <c r="CA69" s="25">
        <f t="shared" si="120"/>
        <v>0.49627976666666668</v>
      </c>
      <c r="CB69" s="75">
        <f t="shared" si="121"/>
        <v>14888393</v>
      </c>
      <c r="CC69" s="75"/>
      <c r="CD69" s="75"/>
      <c r="CE69" s="75"/>
      <c r="CF69" s="75"/>
      <c r="CG69" s="75"/>
      <c r="CH69" s="75">
        <f>+'[1]AGOSTO 2015'!$H$2410</f>
        <v>14888393</v>
      </c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25">
        <f t="shared" si="122"/>
        <v>0.50372023333333327</v>
      </c>
      <c r="CX69" s="75">
        <f t="shared" si="123"/>
        <v>15111607</v>
      </c>
      <c r="CY69" s="75"/>
      <c r="CZ69" s="75"/>
      <c r="DA69" s="75"/>
      <c r="DB69" s="75">
        <f t="shared" si="124"/>
        <v>0</v>
      </c>
      <c r="DC69" s="75"/>
      <c r="DD69" s="75">
        <f t="shared" si="125"/>
        <v>15111607</v>
      </c>
      <c r="DE69" s="75">
        <f t="shared" si="126"/>
        <v>0</v>
      </c>
      <c r="DF69" s="75"/>
      <c r="DG69" s="75">
        <f t="shared" si="127"/>
        <v>0</v>
      </c>
      <c r="DH69" s="75">
        <f t="shared" si="128"/>
        <v>0</v>
      </c>
      <c r="DI69" s="75"/>
      <c r="DJ69" s="75">
        <f t="shared" si="129"/>
        <v>0</v>
      </c>
      <c r="DK69" s="75">
        <f t="shared" si="130"/>
        <v>0</v>
      </c>
      <c r="DL69" s="75">
        <f t="shared" si="131"/>
        <v>0</v>
      </c>
      <c r="DM69" s="75">
        <f t="shared" si="132"/>
        <v>0</v>
      </c>
      <c r="DN69" s="75">
        <f t="shared" si="133"/>
        <v>0</v>
      </c>
      <c r="DO69" s="75">
        <f t="shared" si="134"/>
        <v>0</v>
      </c>
      <c r="DP69" s="75">
        <f t="shared" si="135"/>
        <v>0</v>
      </c>
      <c r="DQ69" s="75"/>
      <c r="DR69" s="75">
        <f t="shared" si="136"/>
        <v>0</v>
      </c>
    </row>
    <row r="70" spans="1:122" ht="27" customHeight="1" x14ac:dyDescent="0.25">
      <c r="A70" s="242"/>
      <c r="B70" s="81"/>
      <c r="C70" s="82" t="s">
        <v>294</v>
      </c>
      <c r="D70" s="81" t="s">
        <v>293</v>
      </c>
      <c r="E70" s="97">
        <v>520</v>
      </c>
      <c r="F70" s="78" t="s">
        <v>214</v>
      </c>
      <c r="G70" s="228"/>
      <c r="H70" s="79">
        <f t="shared" si="107"/>
        <v>2198900</v>
      </c>
      <c r="I70" s="79">
        <f t="shared" si="108"/>
        <v>17801100</v>
      </c>
      <c r="J70" s="78"/>
      <c r="K70" s="78"/>
      <c r="L70" s="78"/>
      <c r="M70" s="75">
        <f t="shared" si="109"/>
        <v>20000000</v>
      </c>
      <c r="N70" s="75"/>
      <c r="O70" s="75"/>
      <c r="P70" s="75"/>
      <c r="Q70" s="75"/>
      <c r="R70" s="75"/>
      <c r="S70" s="75">
        <f>50000000-20000000-20000000</f>
        <v>10000000</v>
      </c>
      <c r="T70" s="75"/>
      <c r="U70" s="75"/>
      <c r="V70" s="75"/>
      <c r="W70" s="75"/>
      <c r="X70" s="75"/>
      <c r="Y70" s="75"/>
      <c r="Z70" s="75"/>
      <c r="AA70" s="75"/>
      <c r="AB70" s="75">
        <v>10000000</v>
      </c>
      <c r="AC70" s="75"/>
      <c r="AD70" s="75"/>
      <c r="AE70" s="75"/>
      <c r="AF70" s="75"/>
      <c r="AG70" s="75"/>
      <c r="AI70" s="25">
        <f t="shared" si="110"/>
        <v>1</v>
      </c>
      <c r="AJ70" s="75">
        <f t="shared" si="111"/>
        <v>20000000</v>
      </c>
      <c r="AK70" s="75"/>
      <c r="AL70" s="75"/>
      <c r="AM70" s="75"/>
      <c r="AN70" s="75"/>
      <c r="AO70" s="75"/>
      <c r="AP70" s="75">
        <f>+'[8]FEBRERO 2015'!$N$1024-40000000</f>
        <v>10000000</v>
      </c>
      <c r="AQ70" s="75"/>
      <c r="AR70" s="75"/>
      <c r="AS70" s="75"/>
      <c r="AT70" s="75"/>
      <c r="AU70" s="75"/>
      <c r="AV70" s="75"/>
      <c r="AW70" s="75"/>
      <c r="AX70" s="75"/>
      <c r="AY70" s="75">
        <f>+'[5]FEBRERO 2015'!$W$1086</f>
        <v>10000000</v>
      </c>
      <c r="AZ70" s="75"/>
      <c r="BA70" s="75"/>
      <c r="BB70" s="75"/>
      <c r="BC70" s="75"/>
      <c r="BD70" s="75"/>
      <c r="BE70" s="25">
        <f t="shared" si="91"/>
        <v>0</v>
      </c>
      <c r="BF70" s="75">
        <f t="shared" si="112"/>
        <v>0</v>
      </c>
      <c r="BG70" s="75">
        <f t="shared" si="113"/>
        <v>0</v>
      </c>
      <c r="BH70" s="75">
        <f t="shared" si="114"/>
        <v>0</v>
      </c>
      <c r="BI70" s="75"/>
      <c r="BJ70" s="75">
        <f t="shared" si="115"/>
        <v>0</v>
      </c>
      <c r="BK70" s="75"/>
      <c r="BL70" s="75">
        <f t="shared" si="116"/>
        <v>0</v>
      </c>
      <c r="BM70" s="75">
        <f t="shared" si="117"/>
        <v>0</v>
      </c>
      <c r="BN70" s="75"/>
      <c r="BO70" s="75"/>
      <c r="BP70" s="75">
        <f t="shared" si="137"/>
        <v>0</v>
      </c>
      <c r="BQ70" s="75"/>
      <c r="BR70" s="75">
        <f t="shared" si="138"/>
        <v>0</v>
      </c>
      <c r="BS70" s="75">
        <f t="shared" si="138"/>
        <v>0</v>
      </c>
      <c r="BT70" s="75">
        <f t="shared" si="138"/>
        <v>0</v>
      </c>
      <c r="BU70" s="75">
        <f t="shared" si="138"/>
        <v>0</v>
      </c>
      <c r="BV70" s="75">
        <f t="shared" si="138"/>
        <v>0</v>
      </c>
      <c r="BW70" s="75">
        <f t="shared" si="138"/>
        <v>0</v>
      </c>
      <c r="BX70" s="75"/>
      <c r="BY70" s="75"/>
      <c r="BZ70" s="75">
        <f t="shared" si="119"/>
        <v>0</v>
      </c>
      <c r="CA70" s="25">
        <f t="shared" si="120"/>
        <v>0.109945</v>
      </c>
      <c r="CB70" s="75">
        <f t="shared" si="121"/>
        <v>2198900</v>
      </c>
      <c r="CC70" s="75"/>
      <c r="CD70" s="75"/>
      <c r="CE70" s="75"/>
      <c r="CF70" s="75"/>
      <c r="CG70" s="75"/>
      <c r="CH70" s="75">
        <f>+'[2]JULIO 2015'!$H$2162</f>
        <v>2198900</v>
      </c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25">
        <f t="shared" si="122"/>
        <v>0.89005500000000004</v>
      </c>
      <c r="CX70" s="75">
        <f t="shared" si="123"/>
        <v>17801100</v>
      </c>
      <c r="CY70" s="75"/>
      <c r="CZ70" s="75"/>
      <c r="DA70" s="75"/>
      <c r="DB70" s="75">
        <f t="shared" si="124"/>
        <v>0</v>
      </c>
      <c r="DC70" s="75"/>
      <c r="DD70" s="75">
        <f t="shared" si="125"/>
        <v>7801100</v>
      </c>
      <c r="DE70" s="75">
        <f t="shared" si="126"/>
        <v>0</v>
      </c>
      <c r="DF70" s="75"/>
      <c r="DG70" s="75">
        <f t="shared" si="127"/>
        <v>0</v>
      </c>
      <c r="DH70" s="75">
        <f t="shared" si="128"/>
        <v>0</v>
      </c>
      <c r="DI70" s="75"/>
      <c r="DJ70" s="75">
        <f t="shared" si="129"/>
        <v>0</v>
      </c>
      <c r="DK70" s="75">
        <f t="shared" si="130"/>
        <v>0</v>
      </c>
      <c r="DL70" s="75">
        <f t="shared" si="131"/>
        <v>0</v>
      </c>
      <c r="DM70" s="75">
        <f t="shared" si="132"/>
        <v>10000000</v>
      </c>
      <c r="DN70" s="75">
        <f t="shared" si="133"/>
        <v>0</v>
      </c>
      <c r="DO70" s="75">
        <f t="shared" si="134"/>
        <v>0</v>
      </c>
      <c r="DP70" s="75">
        <f t="shared" si="135"/>
        <v>0</v>
      </c>
      <c r="DQ70" s="75"/>
      <c r="DR70" s="75">
        <f t="shared" si="136"/>
        <v>0</v>
      </c>
    </row>
    <row r="71" spans="1:122" ht="51" customHeight="1" x14ac:dyDescent="0.25">
      <c r="A71" s="242"/>
      <c r="B71" s="81"/>
      <c r="C71" s="82" t="s">
        <v>292</v>
      </c>
      <c r="D71" s="81" t="s">
        <v>291</v>
      </c>
      <c r="E71" s="97">
        <v>520</v>
      </c>
      <c r="F71" s="78" t="s">
        <v>290</v>
      </c>
      <c r="G71" s="228"/>
      <c r="H71" s="79">
        <f t="shared" si="107"/>
        <v>193792448</v>
      </c>
      <c r="I71" s="79">
        <f t="shared" si="108"/>
        <v>10707552</v>
      </c>
      <c r="J71" s="78"/>
      <c r="K71" s="78"/>
      <c r="L71" s="78"/>
      <c r="M71" s="75">
        <f t="shared" si="109"/>
        <v>204500000</v>
      </c>
      <c r="N71" s="45"/>
      <c r="O71" s="75"/>
      <c r="P71" s="75"/>
      <c r="Q71" s="75"/>
      <c r="R71" s="75"/>
      <c r="S71" s="75">
        <v>200000000</v>
      </c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>
        <f>2000000+2500000</f>
        <v>4500000</v>
      </c>
      <c r="AI71" s="25">
        <f t="shared" si="110"/>
        <v>1</v>
      </c>
      <c r="AJ71" s="75">
        <f t="shared" si="111"/>
        <v>204500000</v>
      </c>
      <c r="AK71" s="75"/>
      <c r="AL71" s="75"/>
      <c r="AM71" s="75"/>
      <c r="AN71" s="75"/>
      <c r="AO71" s="75"/>
      <c r="AP71" s="75">
        <f>+'[8]FEBRERO 2015'!$N$1029</f>
        <v>200000000</v>
      </c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>
        <f>+'[2]JULIO 2015'!$AD$2168</f>
        <v>4500000</v>
      </c>
      <c r="BE71" s="25">
        <f t="shared" si="91"/>
        <v>0</v>
      </c>
      <c r="BF71" s="75">
        <f t="shared" si="112"/>
        <v>0</v>
      </c>
      <c r="BG71" s="75">
        <f t="shared" si="113"/>
        <v>0</v>
      </c>
      <c r="BH71" s="75">
        <f t="shared" si="114"/>
        <v>0</v>
      </c>
      <c r="BI71" s="75"/>
      <c r="BJ71" s="75">
        <f t="shared" si="115"/>
        <v>0</v>
      </c>
      <c r="BK71" s="75"/>
      <c r="BL71" s="75">
        <f t="shared" si="116"/>
        <v>0</v>
      </c>
      <c r="BM71" s="75">
        <f t="shared" si="117"/>
        <v>0</v>
      </c>
      <c r="BN71" s="75"/>
      <c r="BO71" s="75">
        <f>+V71-AS71</f>
        <v>0</v>
      </c>
      <c r="BP71" s="75">
        <f t="shared" si="137"/>
        <v>0</v>
      </c>
      <c r="BQ71" s="75">
        <f t="shared" ref="BQ71:BQ79" si="139">+X71-AU71</f>
        <v>0</v>
      </c>
      <c r="BR71" s="75">
        <f t="shared" si="138"/>
        <v>0</v>
      </c>
      <c r="BS71" s="75">
        <f t="shared" si="138"/>
        <v>0</v>
      </c>
      <c r="BT71" s="75">
        <f t="shared" si="138"/>
        <v>0</v>
      </c>
      <c r="BU71" s="75">
        <f t="shared" si="138"/>
        <v>0</v>
      </c>
      <c r="BV71" s="75">
        <f t="shared" si="138"/>
        <v>0</v>
      </c>
      <c r="BW71" s="75">
        <f t="shared" si="138"/>
        <v>0</v>
      </c>
      <c r="BX71" s="75"/>
      <c r="BY71" s="75"/>
      <c r="BZ71" s="75">
        <f t="shared" si="119"/>
        <v>0</v>
      </c>
      <c r="CA71" s="25">
        <f t="shared" si="120"/>
        <v>0.94764033251833746</v>
      </c>
      <c r="CB71" s="75">
        <f t="shared" si="121"/>
        <v>193792448</v>
      </c>
      <c r="CC71" s="75"/>
      <c r="CD71" s="75"/>
      <c r="CE71" s="75"/>
      <c r="CF71" s="75"/>
      <c r="CG71" s="75"/>
      <c r="CH71" s="75">
        <f>+'[1]AGOSTO 2015'!$H$2444</f>
        <v>193494448</v>
      </c>
      <c r="CI71" s="75"/>
      <c r="CJ71" s="75"/>
      <c r="CK71" s="75"/>
      <c r="CL71" s="75"/>
      <c r="CM71" s="75"/>
      <c r="CN71" s="75"/>
      <c r="CO71" s="75"/>
      <c r="CP71" s="75"/>
      <c r="CQ71" s="75"/>
      <c r="CR71" s="75"/>
      <c r="CS71" s="75"/>
      <c r="CT71" s="75"/>
      <c r="CU71" s="75"/>
      <c r="CV71" s="75">
        <f>+'[6]JUNIO 2015'!$H$1861</f>
        <v>298000</v>
      </c>
      <c r="CW71" s="25">
        <f t="shared" si="122"/>
        <v>5.2359667481662542E-2</v>
      </c>
      <c r="CX71" s="75">
        <f t="shared" si="123"/>
        <v>10707552</v>
      </c>
      <c r="CY71" s="75"/>
      <c r="CZ71" s="75"/>
      <c r="DA71" s="75"/>
      <c r="DB71" s="75">
        <f t="shared" si="124"/>
        <v>0</v>
      </c>
      <c r="DC71" s="75"/>
      <c r="DD71" s="75">
        <f t="shared" si="125"/>
        <v>6505552</v>
      </c>
      <c r="DE71" s="75">
        <f t="shared" si="126"/>
        <v>0</v>
      </c>
      <c r="DF71" s="75"/>
      <c r="DG71" s="75">
        <f t="shared" si="127"/>
        <v>0</v>
      </c>
      <c r="DH71" s="75">
        <f t="shared" si="128"/>
        <v>0</v>
      </c>
      <c r="DI71" s="75"/>
      <c r="DJ71" s="75">
        <f t="shared" si="129"/>
        <v>0</v>
      </c>
      <c r="DK71" s="75">
        <f t="shared" si="130"/>
        <v>0</v>
      </c>
      <c r="DL71" s="75">
        <f t="shared" si="131"/>
        <v>0</v>
      </c>
      <c r="DM71" s="75">
        <f t="shared" si="132"/>
        <v>0</v>
      </c>
      <c r="DN71" s="75">
        <f t="shared" si="133"/>
        <v>0</v>
      </c>
      <c r="DO71" s="75">
        <f t="shared" si="134"/>
        <v>0</v>
      </c>
      <c r="DP71" s="75">
        <f t="shared" si="135"/>
        <v>0</v>
      </c>
      <c r="DQ71" s="75"/>
      <c r="DR71" s="75">
        <f t="shared" si="136"/>
        <v>4202000</v>
      </c>
    </row>
    <row r="72" spans="1:122" ht="37.5" customHeight="1" x14ac:dyDescent="0.25">
      <c r="A72" s="242"/>
      <c r="B72" s="81"/>
      <c r="C72" s="82" t="s">
        <v>289</v>
      </c>
      <c r="D72" s="81" t="s">
        <v>288</v>
      </c>
      <c r="E72" s="97">
        <v>520</v>
      </c>
      <c r="F72" s="78" t="s">
        <v>287</v>
      </c>
      <c r="G72" s="228"/>
      <c r="H72" s="79">
        <f t="shared" si="107"/>
        <v>27772892</v>
      </c>
      <c r="I72" s="79">
        <f t="shared" si="108"/>
        <v>18227108</v>
      </c>
      <c r="J72" s="78"/>
      <c r="K72" s="78"/>
      <c r="L72" s="78"/>
      <c r="M72" s="75">
        <f t="shared" si="109"/>
        <v>46000000</v>
      </c>
      <c r="N72" s="4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>
        <f>25000000+17000000+4000000</f>
        <v>46000000</v>
      </c>
      <c r="AI72" s="25">
        <f t="shared" si="110"/>
        <v>0.67391304347826086</v>
      </c>
      <c r="AJ72" s="75">
        <f t="shared" si="111"/>
        <v>31000000</v>
      </c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>
        <f>+'[2]JULIO 2015'!$AD$2241</f>
        <v>31000000</v>
      </c>
      <c r="BE72" s="25">
        <f t="shared" si="91"/>
        <v>0.32608695652173914</v>
      </c>
      <c r="BF72" s="75">
        <f t="shared" si="112"/>
        <v>15000000</v>
      </c>
      <c r="BG72" s="75">
        <f t="shared" si="113"/>
        <v>0</v>
      </c>
      <c r="BH72" s="75">
        <f t="shared" si="114"/>
        <v>0</v>
      </c>
      <c r="BI72" s="75"/>
      <c r="BJ72" s="75">
        <f t="shared" si="115"/>
        <v>0</v>
      </c>
      <c r="BK72" s="75"/>
      <c r="BL72" s="75">
        <f t="shared" si="116"/>
        <v>0</v>
      </c>
      <c r="BM72" s="75">
        <f t="shared" si="117"/>
        <v>0</v>
      </c>
      <c r="BN72" s="75"/>
      <c r="BO72" s="75">
        <f>+V72-AS72</f>
        <v>0</v>
      </c>
      <c r="BP72" s="75">
        <f t="shared" si="137"/>
        <v>0</v>
      </c>
      <c r="BQ72" s="75">
        <f t="shared" si="139"/>
        <v>0</v>
      </c>
      <c r="BR72" s="75">
        <f t="shared" si="138"/>
        <v>0</v>
      </c>
      <c r="BS72" s="75">
        <f t="shared" si="138"/>
        <v>0</v>
      </c>
      <c r="BT72" s="75">
        <f t="shared" si="138"/>
        <v>0</v>
      </c>
      <c r="BU72" s="75">
        <f t="shared" si="138"/>
        <v>0</v>
      </c>
      <c r="BV72" s="75">
        <f t="shared" si="138"/>
        <v>0</v>
      </c>
      <c r="BW72" s="75">
        <f t="shared" si="138"/>
        <v>0</v>
      </c>
      <c r="BX72" s="75">
        <f>+AE72-BB72</f>
        <v>0</v>
      </c>
      <c r="BY72" s="75"/>
      <c r="BZ72" s="75">
        <f t="shared" si="119"/>
        <v>15000000</v>
      </c>
      <c r="CA72" s="25">
        <f t="shared" si="120"/>
        <v>0.60375852173913047</v>
      </c>
      <c r="CB72" s="75">
        <f t="shared" si="121"/>
        <v>27772892</v>
      </c>
      <c r="CC72" s="75"/>
      <c r="CD72" s="75"/>
      <c r="CE72" s="75"/>
      <c r="CF72" s="75"/>
      <c r="CG72" s="75"/>
      <c r="CH72" s="75"/>
      <c r="CI72" s="75"/>
      <c r="CJ72" s="75"/>
      <c r="CK72" s="75"/>
      <c r="CL72" s="75"/>
      <c r="CM72" s="75"/>
      <c r="CN72" s="75"/>
      <c r="CO72" s="75"/>
      <c r="CP72" s="75"/>
      <c r="CQ72" s="75"/>
      <c r="CR72" s="75"/>
      <c r="CS72" s="75"/>
      <c r="CT72" s="75"/>
      <c r="CU72" s="75"/>
      <c r="CV72" s="75">
        <f>+'[1]AGOSTO 2015'!$H$2511</f>
        <v>27772892</v>
      </c>
      <c r="CW72" s="25">
        <f t="shared" si="122"/>
        <v>0.39624147826086953</v>
      </c>
      <c r="CX72" s="75">
        <f t="shared" si="123"/>
        <v>18227108</v>
      </c>
      <c r="CY72" s="75"/>
      <c r="CZ72" s="75"/>
      <c r="DA72" s="75"/>
      <c r="DB72" s="75">
        <f t="shared" si="124"/>
        <v>0</v>
      </c>
      <c r="DC72" s="75"/>
      <c r="DD72" s="75">
        <f t="shared" si="125"/>
        <v>0</v>
      </c>
      <c r="DE72" s="75">
        <f t="shared" si="126"/>
        <v>0</v>
      </c>
      <c r="DF72" s="75"/>
      <c r="DG72" s="75">
        <f t="shared" si="127"/>
        <v>0</v>
      </c>
      <c r="DH72" s="75">
        <f t="shared" si="128"/>
        <v>0</v>
      </c>
      <c r="DI72" s="75"/>
      <c r="DJ72" s="75">
        <f t="shared" si="129"/>
        <v>0</v>
      </c>
      <c r="DK72" s="75">
        <f t="shared" si="130"/>
        <v>0</v>
      </c>
      <c r="DL72" s="75">
        <f t="shared" si="131"/>
        <v>0</v>
      </c>
      <c r="DM72" s="75">
        <f t="shared" si="132"/>
        <v>0</v>
      </c>
      <c r="DN72" s="75">
        <f t="shared" si="133"/>
        <v>0</v>
      </c>
      <c r="DO72" s="75">
        <f t="shared" si="134"/>
        <v>0</v>
      </c>
      <c r="DP72" s="75">
        <f t="shared" si="135"/>
        <v>0</v>
      </c>
      <c r="DQ72" s="75"/>
      <c r="DR72" s="75">
        <f t="shared" si="136"/>
        <v>18227108</v>
      </c>
    </row>
    <row r="73" spans="1:122" ht="37.5" customHeight="1" x14ac:dyDescent="0.25">
      <c r="A73" s="242"/>
      <c r="B73" s="81"/>
      <c r="C73" s="82" t="s">
        <v>286</v>
      </c>
      <c r="D73" s="81" t="s">
        <v>285</v>
      </c>
      <c r="E73" s="97">
        <v>520</v>
      </c>
      <c r="F73" s="78" t="s">
        <v>284</v>
      </c>
      <c r="G73" s="229"/>
      <c r="H73" s="79">
        <f t="shared" si="107"/>
        <v>1764945</v>
      </c>
      <c r="I73" s="79">
        <f t="shared" si="108"/>
        <v>1235055</v>
      </c>
      <c r="J73" s="78"/>
      <c r="K73" s="78"/>
      <c r="L73" s="78"/>
      <c r="M73" s="75">
        <f t="shared" si="109"/>
        <v>3000000</v>
      </c>
      <c r="N73" s="4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>
        <f>2000000+1000000</f>
        <v>3000000</v>
      </c>
      <c r="AI73" s="25">
        <f t="shared" si="110"/>
        <v>1</v>
      </c>
      <c r="AJ73" s="75">
        <f t="shared" si="111"/>
        <v>3000000</v>
      </c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>
        <f>+'[2]JULIO 2015'!$AD$2253</f>
        <v>3000000</v>
      </c>
      <c r="BE73" s="25">
        <f t="shared" si="91"/>
        <v>0</v>
      </c>
      <c r="BF73" s="75">
        <f t="shared" si="112"/>
        <v>0</v>
      </c>
      <c r="BG73" s="75">
        <f t="shared" si="113"/>
        <v>0</v>
      </c>
      <c r="BH73" s="75">
        <f t="shared" si="114"/>
        <v>0</v>
      </c>
      <c r="BI73" s="75"/>
      <c r="BJ73" s="75">
        <f t="shared" si="115"/>
        <v>0</v>
      </c>
      <c r="BK73" s="75"/>
      <c r="BL73" s="75">
        <f t="shared" si="116"/>
        <v>0</v>
      </c>
      <c r="BM73" s="75">
        <f t="shared" si="117"/>
        <v>0</v>
      </c>
      <c r="BN73" s="75"/>
      <c r="BO73" s="75"/>
      <c r="BP73" s="75">
        <f t="shared" si="137"/>
        <v>0</v>
      </c>
      <c r="BQ73" s="75">
        <f t="shared" si="139"/>
        <v>0</v>
      </c>
      <c r="BR73" s="75">
        <f t="shared" si="138"/>
        <v>0</v>
      </c>
      <c r="BS73" s="75">
        <f t="shared" si="138"/>
        <v>0</v>
      </c>
      <c r="BT73" s="75">
        <f t="shared" si="138"/>
        <v>0</v>
      </c>
      <c r="BU73" s="75">
        <f t="shared" si="138"/>
        <v>0</v>
      </c>
      <c r="BV73" s="75">
        <f t="shared" si="138"/>
        <v>0</v>
      </c>
      <c r="BW73" s="75">
        <f t="shared" si="138"/>
        <v>0</v>
      </c>
      <c r="BX73" s="75"/>
      <c r="BY73" s="75"/>
      <c r="BZ73" s="75">
        <f t="shared" si="119"/>
        <v>0</v>
      </c>
      <c r="CA73" s="25">
        <f t="shared" si="120"/>
        <v>0.58831500000000003</v>
      </c>
      <c r="CB73" s="75">
        <f t="shared" si="121"/>
        <v>1764945</v>
      </c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  <c r="CP73" s="75"/>
      <c r="CQ73" s="75"/>
      <c r="CR73" s="75"/>
      <c r="CS73" s="75"/>
      <c r="CT73" s="75"/>
      <c r="CU73" s="75"/>
      <c r="CV73" s="75">
        <f>+'[3]ABRIL 2015'!$H$1527</f>
        <v>1764945</v>
      </c>
      <c r="CW73" s="25">
        <f t="shared" si="122"/>
        <v>0.41168499999999997</v>
      </c>
      <c r="CX73" s="75">
        <f t="shared" si="123"/>
        <v>1235055</v>
      </c>
      <c r="CY73" s="75"/>
      <c r="CZ73" s="75"/>
      <c r="DA73" s="75"/>
      <c r="DB73" s="75">
        <f t="shared" si="124"/>
        <v>0</v>
      </c>
      <c r="DC73" s="75"/>
      <c r="DD73" s="75">
        <f t="shared" si="125"/>
        <v>0</v>
      </c>
      <c r="DE73" s="75">
        <f t="shared" si="126"/>
        <v>0</v>
      </c>
      <c r="DF73" s="75"/>
      <c r="DG73" s="75">
        <f t="shared" si="127"/>
        <v>0</v>
      </c>
      <c r="DH73" s="75">
        <f t="shared" si="128"/>
        <v>0</v>
      </c>
      <c r="DI73" s="75"/>
      <c r="DJ73" s="75">
        <f t="shared" si="129"/>
        <v>0</v>
      </c>
      <c r="DK73" s="75">
        <f t="shared" si="130"/>
        <v>0</v>
      </c>
      <c r="DL73" s="75">
        <f t="shared" si="131"/>
        <v>0</v>
      </c>
      <c r="DM73" s="75">
        <f t="shared" si="132"/>
        <v>0</v>
      </c>
      <c r="DN73" s="75">
        <f t="shared" si="133"/>
        <v>0</v>
      </c>
      <c r="DO73" s="75">
        <f t="shared" si="134"/>
        <v>0</v>
      </c>
      <c r="DP73" s="75">
        <f t="shared" si="135"/>
        <v>0</v>
      </c>
      <c r="DQ73" s="75"/>
      <c r="DR73" s="75">
        <f t="shared" si="136"/>
        <v>1235055</v>
      </c>
    </row>
    <row r="74" spans="1:122" ht="37.5" customHeight="1" x14ac:dyDescent="0.25">
      <c r="A74" s="242"/>
      <c r="B74" s="81" t="s">
        <v>283</v>
      </c>
      <c r="C74" s="82" t="s">
        <v>282</v>
      </c>
      <c r="D74" s="81" t="s">
        <v>281</v>
      </c>
      <c r="E74" s="97">
        <v>520</v>
      </c>
      <c r="F74" s="78" t="s">
        <v>214</v>
      </c>
      <c r="G74" s="227">
        <v>100000000</v>
      </c>
      <c r="H74" s="79">
        <f t="shared" si="107"/>
        <v>0</v>
      </c>
      <c r="I74" s="79">
        <f t="shared" si="108"/>
        <v>25000000</v>
      </c>
      <c r="J74" s="78"/>
      <c r="K74" s="78"/>
      <c r="L74" s="78"/>
      <c r="M74" s="75">
        <f t="shared" si="109"/>
        <v>25000000</v>
      </c>
      <c r="N74" s="45"/>
      <c r="O74" s="75"/>
      <c r="P74" s="75"/>
      <c r="Q74" s="75"/>
      <c r="R74" s="75"/>
      <c r="S74" s="75"/>
      <c r="T74" s="75">
        <f>50000000-25000000</f>
        <v>25000000</v>
      </c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I74" s="25">
        <f t="shared" si="110"/>
        <v>0</v>
      </c>
      <c r="AJ74" s="75">
        <f t="shared" si="111"/>
        <v>0</v>
      </c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25">
        <f t="shared" si="91"/>
        <v>1</v>
      </c>
      <c r="BF74" s="75">
        <f t="shared" si="112"/>
        <v>25000000</v>
      </c>
      <c r="BG74" s="75">
        <f t="shared" si="113"/>
        <v>0</v>
      </c>
      <c r="BH74" s="75">
        <f t="shared" si="114"/>
        <v>0</v>
      </c>
      <c r="BI74" s="75"/>
      <c r="BJ74" s="75">
        <f t="shared" si="115"/>
        <v>0</v>
      </c>
      <c r="BK74" s="75"/>
      <c r="BL74" s="75">
        <f t="shared" si="116"/>
        <v>0</v>
      </c>
      <c r="BM74" s="75">
        <f t="shared" si="117"/>
        <v>25000000</v>
      </c>
      <c r="BN74" s="75"/>
      <c r="BO74" s="75">
        <f>+V74-AS74</f>
        <v>0</v>
      </c>
      <c r="BP74" s="75">
        <f t="shared" si="137"/>
        <v>0</v>
      </c>
      <c r="BQ74" s="75">
        <f t="shared" si="139"/>
        <v>0</v>
      </c>
      <c r="BR74" s="75">
        <f t="shared" si="138"/>
        <v>0</v>
      </c>
      <c r="BS74" s="75">
        <f t="shared" si="138"/>
        <v>0</v>
      </c>
      <c r="BT74" s="75">
        <f t="shared" si="138"/>
        <v>0</v>
      </c>
      <c r="BU74" s="75">
        <f t="shared" si="138"/>
        <v>0</v>
      </c>
      <c r="BV74" s="75">
        <f t="shared" si="138"/>
        <v>0</v>
      </c>
      <c r="BW74" s="75">
        <f t="shared" si="138"/>
        <v>0</v>
      </c>
      <c r="BX74" s="75">
        <f>+AE74-BB74</f>
        <v>0</v>
      </c>
      <c r="BY74" s="75"/>
      <c r="BZ74" s="75">
        <f t="shared" si="119"/>
        <v>0</v>
      </c>
      <c r="CA74" s="25">
        <f t="shared" si="120"/>
        <v>0</v>
      </c>
      <c r="CB74" s="75">
        <f t="shared" si="121"/>
        <v>0</v>
      </c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25">
        <f t="shared" si="122"/>
        <v>1</v>
      </c>
      <c r="CX74" s="75">
        <f t="shared" si="123"/>
        <v>25000000</v>
      </c>
      <c r="CY74" s="75"/>
      <c r="CZ74" s="75"/>
      <c r="DA74" s="75"/>
      <c r="DB74" s="75">
        <f t="shared" si="124"/>
        <v>0</v>
      </c>
      <c r="DC74" s="75"/>
      <c r="DD74" s="75">
        <f t="shared" si="125"/>
        <v>0</v>
      </c>
      <c r="DE74" s="75">
        <f t="shared" si="126"/>
        <v>25000000</v>
      </c>
      <c r="DF74" s="75"/>
      <c r="DG74" s="75">
        <f t="shared" si="127"/>
        <v>0</v>
      </c>
      <c r="DH74" s="75">
        <f t="shared" si="128"/>
        <v>0</v>
      </c>
      <c r="DI74" s="75"/>
      <c r="DJ74" s="75">
        <f t="shared" si="129"/>
        <v>0</v>
      </c>
      <c r="DK74" s="75">
        <f t="shared" si="130"/>
        <v>0</v>
      </c>
      <c r="DL74" s="75">
        <f t="shared" si="131"/>
        <v>0</v>
      </c>
      <c r="DM74" s="75">
        <f t="shared" si="132"/>
        <v>0</v>
      </c>
      <c r="DN74" s="75">
        <f t="shared" si="133"/>
        <v>0</v>
      </c>
      <c r="DO74" s="75">
        <f t="shared" si="134"/>
        <v>0</v>
      </c>
      <c r="DP74" s="75">
        <f t="shared" si="135"/>
        <v>0</v>
      </c>
      <c r="DQ74" s="75"/>
      <c r="DR74" s="75">
        <f t="shared" si="136"/>
        <v>0</v>
      </c>
    </row>
    <row r="75" spans="1:122" ht="34.5" customHeight="1" x14ac:dyDescent="0.25">
      <c r="A75" s="242"/>
      <c r="B75" s="81"/>
      <c r="C75" s="82" t="s">
        <v>280</v>
      </c>
      <c r="D75" s="81" t="s">
        <v>279</v>
      </c>
      <c r="E75" s="97">
        <v>520</v>
      </c>
      <c r="F75" s="78" t="s">
        <v>214</v>
      </c>
      <c r="G75" s="228"/>
      <c r="H75" s="79">
        <f t="shared" si="107"/>
        <v>25001010</v>
      </c>
      <c r="I75" s="79">
        <f t="shared" si="108"/>
        <v>4998990</v>
      </c>
      <c r="J75" s="78"/>
      <c r="K75" s="78"/>
      <c r="L75" s="78"/>
      <c r="M75" s="75">
        <f t="shared" si="109"/>
        <v>30000000</v>
      </c>
      <c r="N75" s="45"/>
      <c r="O75" s="75"/>
      <c r="P75" s="75"/>
      <c r="Q75" s="75"/>
      <c r="R75" s="75"/>
      <c r="S75" s="75">
        <v>20000000</v>
      </c>
      <c r="T75" s="75"/>
      <c r="U75" s="75"/>
      <c r="V75" s="75"/>
      <c r="W75" s="75"/>
      <c r="X75" s="75"/>
      <c r="Y75" s="75"/>
      <c r="Z75" s="75"/>
      <c r="AA75" s="75"/>
      <c r="AB75" s="75">
        <v>10000000</v>
      </c>
      <c r="AC75" s="75"/>
      <c r="AD75" s="75"/>
      <c r="AE75" s="75"/>
      <c r="AF75" s="75"/>
      <c r="AG75" s="75"/>
      <c r="AI75" s="25">
        <f t="shared" si="110"/>
        <v>1</v>
      </c>
      <c r="AJ75" s="75">
        <f t="shared" si="111"/>
        <v>30000000</v>
      </c>
      <c r="AK75" s="75"/>
      <c r="AL75" s="75"/>
      <c r="AM75" s="75"/>
      <c r="AN75" s="75"/>
      <c r="AO75" s="75"/>
      <c r="AP75" s="75">
        <f>+'[9]ENERO 2015'!$L$922</f>
        <v>20000000</v>
      </c>
      <c r="AQ75" s="75"/>
      <c r="AR75" s="75"/>
      <c r="AS75" s="75"/>
      <c r="AT75" s="75"/>
      <c r="AU75" s="75"/>
      <c r="AV75" s="75"/>
      <c r="AW75" s="75"/>
      <c r="AX75" s="75"/>
      <c r="AY75" s="75">
        <f>+'[5]FEBRERO 2015'!$W$1134</f>
        <v>10000000</v>
      </c>
      <c r="AZ75" s="75"/>
      <c r="BA75" s="75"/>
      <c r="BB75" s="75"/>
      <c r="BC75" s="75"/>
      <c r="BD75" s="75"/>
      <c r="BE75" s="25">
        <f t="shared" si="91"/>
        <v>0</v>
      </c>
      <c r="BF75" s="75">
        <f t="shared" si="112"/>
        <v>0</v>
      </c>
      <c r="BG75" s="75">
        <f t="shared" si="113"/>
        <v>0</v>
      </c>
      <c r="BH75" s="75">
        <f t="shared" si="114"/>
        <v>0</v>
      </c>
      <c r="BI75" s="75"/>
      <c r="BJ75" s="75">
        <f t="shared" si="115"/>
        <v>0</v>
      </c>
      <c r="BK75" s="75"/>
      <c r="BL75" s="75">
        <f t="shared" si="116"/>
        <v>0</v>
      </c>
      <c r="BM75" s="75">
        <f t="shared" si="117"/>
        <v>0</v>
      </c>
      <c r="BN75" s="75"/>
      <c r="BO75" s="75">
        <f>+V75-AS75</f>
        <v>0</v>
      </c>
      <c r="BP75" s="75">
        <f t="shared" si="137"/>
        <v>0</v>
      </c>
      <c r="BQ75" s="75">
        <f t="shared" si="139"/>
        <v>0</v>
      </c>
      <c r="BR75" s="75">
        <f t="shared" si="138"/>
        <v>0</v>
      </c>
      <c r="BS75" s="75">
        <f t="shared" si="138"/>
        <v>0</v>
      </c>
      <c r="BT75" s="75">
        <f t="shared" si="138"/>
        <v>0</v>
      </c>
      <c r="BU75" s="75">
        <f t="shared" si="138"/>
        <v>0</v>
      </c>
      <c r="BV75" s="75">
        <f t="shared" si="138"/>
        <v>0</v>
      </c>
      <c r="BW75" s="75">
        <f t="shared" si="138"/>
        <v>0</v>
      </c>
      <c r="BX75" s="75">
        <f>+AE75-BB75</f>
        <v>0</v>
      </c>
      <c r="BY75" s="75"/>
      <c r="BZ75" s="75">
        <f t="shared" si="119"/>
        <v>0</v>
      </c>
      <c r="CA75" s="25">
        <f t="shared" si="120"/>
        <v>0.83336699999999997</v>
      </c>
      <c r="CB75" s="75">
        <f t="shared" si="121"/>
        <v>25001010</v>
      </c>
      <c r="CC75" s="75"/>
      <c r="CD75" s="75"/>
      <c r="CE75" s="75"/>
      <c r="CF75" s="75"/>
      <c r="CG75" s="75"/>
      <c r="CH75" s="75">
        <f>+'[3]ABRIL 2015'!$H$1544</f>
        <v>19926000</v>
      </c>
      <c r="CI75" s="75"/>
      <c r="CJ75" s="75"/>
      <c r="CK75" s="75"/>
      <c r="CL75" s="75"/>
      <c r="CM75" s="75"/>
      <c r="CN75" s="75"/>
      <c r="CO75" s="75"/>
      <c r="CP75" s="75"/>
      <c r="CQ75" s="75">
        <f>+'[1]AGOSTO 2015'!$H$2545</f>
        <v>5075010</v>
      </c>
      <c r="CR75" s="75"/>
      <c r="CS75" s="75"/>
      <c r="CT75" s="75"/>
      <c r="CU75" s="75"/>
      <c r="CV75" s="75"/>
      <c r="CW75" s="25">
        <f t="shared" si="122"/>
        <v>0.16663300000000003</v>
      </c>
      <c r="CX75" s="75">
        <f t="shared" si="123"/>
        <v>4998990</v>
      </c>
      <c r="CY75" s="75"/>
      <c r="CZ75" s="75"/>
      <c r="DA75" s="75"/>
      <c r="DB75" s="75">
        <f t="shared" si="124"/>
        <v>0</v>
      </c>
      <c r="DC75" s="75"/>
      <c r="DD75" s="75">
        <f t="shared" si="125"/>
        <v>74000</v>
      </c>
      <c r="DE75" s="75">
        <f t="shared" si="126"/>
        <v>0</v>
      </c>
      <c r="DF75" s="75"/>
      <c r="DG75" s="75">
        <f t="shared" si="127"/>
        <v>0</v>
      </c>
      <c r="DH75" s="75">
        <f t="shared" si="128"/>
        <v>0</v>
      </c>
      <c r="DI75" s="75"/>
      <c r="DJ75" s="75">
        <f t="shared" si="129"/>
        <v>0</v>
      </c>
      <c r="DK75" s="75">
        <f t="shared" si="130"/>
        <v>0</v>
      </c>
      <c r="DL75" s="75">
        <f t="shared" si="131"/>
        <v>0</v>
      </c>
      <c r="DM75" s="75">
        <f t="shared" si="132"/>
        <v>4924990</v>
      </c>
      <c r="DN75" s="75">
        <f t="shared" si="133"/>
        <v>0</v>
      </c>
      <c r="DO75" s="75">
        <f t="shared" si="134"/>
        <v>0</v>
      </c>
      <c r="DP75" s="75">
        <f t="shared" si="135"/>
        <v>0</v>
      </c>
      <c r="DQ75" s="75"/>
      <c r="DR75" s="75">
        <f t="shared" si="136"/>
        <v>0</v>
      </c>
    </row>
    <row r="76" spans="1:122" ht="47.25" customHeight="1" x14ac:dyDescent="0.25">
      <c r="A76" s="242"/>
      <c r="B76" s="81"/>
      <c r="C76" s="82" t="s">
        <v>278</v>
      </c>
      <c r="D76" s="81" t="s">
        <v>277</v>
      </c>
      <c r="E76" s="97">
        <v>520</v>
      </c>
      <c r="F76" s="78" t="s">
        <v>214</v>
      </c>
      <c r="G76" s="229"/>
      <c r="H76" s="79">
        <f t="shared" si="107"/>
        <v>12228000</v>
      </c>
      <c r="I76" s="79">
        <f t="shared" si="108"/>
        <v>17772000</v>
      </c>
      <c r="J76" s="78"/>
      <c r="K76" s="78"/>
      <c r="L76" s="78"/>
      <c r="M76" s="75">
        <f t="shared" si="109"/>
        <v>30000000</v>
      </c>
      <c r="N76" s="45"/>
      <c r="O76" s="75"/>
      <c r="P76" s="75"/>
      <c r="Q76" s="75"/>
      <c r="R76" s="75"/>
      <c r="S76" s="75">
        <v>30000000</v>
      </c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I76" s="25">
        <f t="shared" si="110"/>
        <v>1</v>
      </c>
      <c r="AJ76" s="75">
        <f t="shared" si="111"/>
        <v>30000000</v>
      </c>
      <c r="AK76" s="75"/>
      <c r="AL76" s="75"/>
      <c r="AM76" s="75"/>
      <c r="AN76" s="75"/>
      <c r="AO76" s="75"/>
      <c r="AP76" s="75">
        <f>+'[8]FEBRERO 2015'!$N$1070</f>
        <v>30000000</v>
      </c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25">
        <f t="shared" si="91"/>
        <v>0</v>
      </c>
      <c r="BF76" s="75">
        <f t="shared" si="112"/>
        <v>0</v>
      </c>
      <c r="BG76" s="75">
        <f t="shared" si="113"/>
        <v>0</v>
      </c>
      <c r="BH76" s="75">
        <f t="shared" si="114"/>
        <v>0</v>
      </c>
      <c r="BI76" s="75"/>
      <c r="BJ76" s="75">
        <f t="shared" si="115"/>
        <v>0</v>
      </c>
      <c r="BK76" s="75"/>
      <c r="BL76" s="75">
        <f t="shared" si="116"/>
        <v>0</v>
      </c>
      <c r="BM76" s="75">
        <f t="shared" si="117"/>
        <v>0</v>
      </c>
      <c r="BN76" s="75"/>
      <c r="BO76" s="75">
        <f>V76-AS76</f>
        <v>0</v>
      </c>
      <c r="BP76" s="75">
        <f t="shared" si="137"/>
        <v>0</v>
      </c>
      <c r="BQ76" s="75">
        <f t="shared" si="139"/>
        <v>0</v>
      </c>
      <c r="BR76" s="75">
        <f t="shared" ref="BR76:BR102" si="140">+Y76-AV76</f>
        <v>0</v>
      </c>
      <c r="BS76" s="75">
        <f t="shared" ref="BS76:BS102" si="141">+Z76-AW76</f>
        <v>0</v>
      </c>
      <c r="BT76" s="75">
        <f t="shared" ref="BT76:BT102" si="142">+AA76-AX76</f>
        <v>0</v>
      </c>
      <c r="BU76" s="75">
        <f>AB76-AY76</f>
        <v>0</v>
      </c>
      <c r="BV76" s="75">
        <f t="shared" ref="BV76:BV102" si="143">+AC76-AZ76</f>
        <v>0</v>
      </c>
      <c r="BW76" s="75">
        <f t="shared" ref="BW76:BW102" si="144">+AD76-BA76</f>
        <v>0</v>
      </c>
      <c r="BX76" s="75">
        <f>+AE76-BB76</f>
        <v>0</v>
      </c>
      <c r="BY76" s="75"/>
      <c r="BZ76" s="75">
        <f t="shared" si="119"/>
        <v>0</v>
      </c>
      <c r="CA76" s="25">
        <f t="shared" si="120"/>
        <v>0.40760000000000002</v>
      </c>
      <c r="CB76" s="75">
        <f t="shared" si="121"/>
        <v>12228000</v>
      </c>
      <c r="CC76" s="75"/>
      <c r="CD76" s="75"/>
      <c r="CE76" s="75"/>
      <c r="CF76" s="75"/>
      <c r="CG76" s="75"/>
      <c r="CH76" s="75">
        <f>+'[6]JUNIO 2015'!$H$1939</f>
        <v>12228000</v>
      </c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25">
        <f t="shared" si="122"/>
        <v>0.59240000000000004</v>
      </c>
      <c r="CX76" s="75">
        <f t="shared" si="123"/>
        <v>17772000</v>
      </c>
      <c r="CY76" s="75"/>
      <c r="CZ76" s="75"/>
      <c r="DA76" s="75"/>
      <c r="DB76" s="75">
        <f t="shared" si="124"/>
        <v>0</v>
      </c>
      <c r="DC76" s="75"/>
      <c r="DD76" s="75">
        <f t="shared" si="125"/>
        <v>17772000</v>
      </c>
      <c r="DE76" s="75">
        <f t="shared" si="126"/>
        <v>0</v>
      </c>
      <c r="DF76" s="75"/>
      <c r="DG76" s="75">
        <f t="shared" si="127"/>
        <v>0</v>
      </c>
      <c r="DH76" s="75">
        <f t="shared" si="128"/>
        <v>0</v>
      </c>
      <c r="DI76" s="75"/>
      <c r="DJ76" s="75">
        <f t="shared" si="129"/>
        <v>0</v>
      </c>
      <c r="DK76" s="75">
        <f t="shared" si="130"/>
        <v>0</v>
      </c>
      <c r="DL76" s="75">
        <f t="shared" si="131"/>
        <v>0</v>
      </c>
      <c r="DM76" s="75">
        <f t="shared" si="132"/>
        <v>0</v>
      </c>
      <c r="DN76" s="75">
        <f t="shared" si="133"/>
        <v>0</v>
      </c>
      <c r="DO76" s="75">
        <f t="shared" si="134"/>
        <v>0</v>
      </c>
      <c r="DP76" s="75">
        <f t="shared" si="135"/>
        <v>0</v>
      </c>
      <c r="DQ76" s="75"/>
      <c r="DR76" s="75">
        <f t="shared" si="136"/>
        <v>0</v>
      </c>
    </row>
    <row r="77" spans="1:122" ht="30" customHeight="1" x14ac:dyDescent="0.25">
      <c r="A77" s="242"/>
      <c r="B77" s="81" t="s">
        <v>276</v>
      </c>
      <c r="C77" s="82" t="s">
        <v>275</v>
      </c>
      <c r="D77" s="81" t="s">
        <v>274</v>
      </c>
      <c r="E77" s="97">
        <v>520</v>
      </c>
      <c r="F77" s="78" t="s">
        <v>273</v>
      </c>
      <c r="G77" s="227">
        <v>1710000000</v>
      </c>
      <c r="H77" s="79">
        <f t="shared" si="107"/>
        <v>0</v>
      </c>
      <c r="I77" s="79">
        <f t="shared" si="108"/>
        <v>2898900</v>
      </c>
      <c r="J77" s="78"/>
      <c r="K77" s="78"/>
      <c r="L77" s="78"/>
      <c r="M77" s="75">
        <f t="shared" si="109"/>
        <v>2898900</v>
      </c>
      <c r="N77" s="45"/>
      <c r="O77" s="45"/>
      <c r="P77" s="45"/>
      <c r="Q77" s="45"/>
      <c r="R77" s="45"/>
      <c r="S77" s="4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>
        <f>2500000+398900</f>
        <v>2898900</v>
      </c>
      <c r="AI77" s="25">
        <f t="shared" si="110"/>
        <v>1</v>
      </c>
      <c r="AJ77" s="75">
        <f t="shared" si="111"/>
        <v>2898900</v>
      </c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>
        <f>+'[2]JULIO 2015'!$AD$2291</f>
        <v>2898900</v>
      </c>
      <c r="BE77" s="25">
        <f t="shared" si="91"/>
        <v>0</v>
      </c>
      <c r="BF77" s="75">
        <f t="shared" si="112"/>
        <v>0</v>
      </c>
      <c r="BG77" s="75">
        <f t="shared" si="113"/>
        <v>0</v>
      </c>
      <c r="BH77" s="75">
        <f t="shared" si="114"/>
        <v>0</v>
      </c>
      <c r="BI77" s="75"/>
      <c r="BJ77" s="75">
        <f t="shared" si="115"/>
        <v>0</v>
      </c>
      <c r="BK77" s="75"/>
      <c r="BL77" s="75">
        <f t="shared" si="116"/>
        <v>0</v>
      </c>
      <c r="BM77" s="75">
        <f t="shared" si="117"/>
        <v>0</v>
      </c>
      <c r="BN77" s="75"/>
      <c r="BO77" s="75">
        <f>V77-AS77</f>
        <v>0</v>
      </c>
      <c r="BP77" s="75">
        <f t="shared" si="137"/>
        <v>0</v>
      </c>
      <c r="BQ77" s="75">
        <f t="shared" si="139"/>
        <v>0</v>
      </c>
      <c r="BR77" s="75">
        <f t="shared" si="140"/>
        <v>0</v>
      </c>
      <c r="BS77" s="75">
        <f t="shared" si="141"/>
        <v>0</v>
      </c>
      <c r="BT77" s="75">
        <f t="shared" si="142"/>
        <v>0</v>
      </c>
      <c r="BU77" s="75">
        <f>AB77-AY77</f>
        <v>0</v>
      </c>
      <c r="BV77" s="75">
        <f t="shared" si="143"/>
        <v>0</v>
      </c>
      <c r="BW77" s="75">
        <f t="shared" si="144"/>
        <v>0</v>
      </c>
      <c r="BX77" s="75"/>
      <c r="BY77" s="75"/>
      <c r="BZ77" s="75">
        <f t="shared" si="119"/>
        <v>0</v>
      </c>
      <c r="CA77" s="25">
        <f t="shared" si="120"/>
        <v>0</v>
      </c>
      <c r="CB77" s="75">
        <f t="shared" si="121"/>
        <v>0</v>
      </c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25">
        <f t="shared" si="122"/>
        <v>1</v>
      </c>
      <c r="CX77" s="75">
        <f t="shared" si="123"/>
        <v>2898900</v>
      </c>
      <c r="CY77" s="75"/>
      <c r="CZ77" s="75"/>
      <c r="DA77" s="75"/>
      <c r="DB77" s="75">
        <f t="shared" si="124"/>
        <v>0</v>
      </c>
      <c r="DC77" s="75"/>
      <c r="DD77" s="75">
        <f t="shared" si="125"/>
        <v>0</v>
      </c>
      <c r="DE77" s="75">
        <f t="shared" si="126"/>
        <v>0</v>
      </c>
      <c r="DF77" s="75"/>
      <c r="DG77" s="75">
        <f t="shared" si="127"/>
        <v>0</v>
      </c>
      <c r="DH77" s="75">
        <f t="shared" si="128"/>
        <v>0</v>
      </c>
      <c r="DI77" s="75"/>
      <c r="DJ77" s="75">
        <f t="shared" si="129"/>
        <v>0</v>
      </c>
      <c r="DK77" s="75">
        <f t="shared" si="130"/>
        <v>0</v>
      </c>
      <c r="DL77" s="75">
        <f t="shared" si="131"/>
        <v>0</v>
      </c>
      <c r="DM77" s="75">
        <f t="shared" si="132"/>
        <v>0</v>
      </c>
      <c r="DN77" s="75">
        <f t="shared" si="133"/>
        <v>0</v>
      </c>
      <c r="DO77" s="75">
        <f t="shared" si="134"/>
        <v>0</v>
      </c>
      <c r="DP77" s="75">
        <f t="shared" si="135"/>
        <v>0</v>
      </c>
      <c r="DQ77" s="75"/>
      <c r="DR77" s="75">
        <f t="shared" si="136"/>
        <v>2898900</v>
      </c>
    </row>
    <row r="78" spans="1:122" ht="24.75" customHeight="1" x14ac:dyDescent="0.25">
      <c r="A78" s="242"/>
      <c r="B78" s="81"/>
      <c r="C78" s="82" t="s">
        <v>272</v>
      </c>
      <c r="D78" s="81" t="s">
        <v>271</v>
      </c>
      <c r="E78" s="97">
        <v>520</v>
      </c>
      <c r="F78" s="78" t="s">
        <v>270</v>
      </c>
      <c r="G78" s="228"/>
      <c r="H78" s="79">
        <f t="shared" si="107"/>
        <v>247167734</v>
      </c>
      <c r="I78" s="79">
        <f t="shared" si="108"/>
        <v>27832266</v>
      </c>
      <c r="J78" s="78"/>
      <c r="K78" s="78"/>
      <c r="L78" s="78"/>
      <c r="M78" s="75">
        <f t="shared" si="109"/>
        <v>275000000</v>
      </c>
      <c r="N78" s="45"/>
      <c r="O78" s="115">
        <f>300000000-300000000</f>
        <v>0</v>
      </c>
      <c r="P78" s="115"/>
      <c r="Q78" s="45"/>
      <c r="R78" s="45"/>
      <c r="S78" s="45"/>
      <c r="T78" s="75">
        <f>300000000-25000000</f>
        <v>275000000</v>
      </c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I78" s="25">
        <f t="shared" si="110"/>
        <v>1</v>
      </c>
      <c r="AJ78" s="75">
        <f t="shared" si="111"/>
        <v>275000000</v>
      </c>
      <c r="AK78" s="75"/>
      <c r="AL78" s="75"/>
      <c r="AM78" s="75"/>
      <c r="AN78" s="75"/>
      <c r="AO78" s="75"/>
      <c r="AP78" s="75"/>
      <c r="AQ78" s="75">
        <f>+'[5]FEBRERO 2015'!$O$1154-25000000</f>
        <v>275000000</v>
      </c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25">
        <f t="shared" si="91"/>
        <v>0</v>
      </c>
      <c r="BF78" s="75">
        <f t="shared" si="112"/>
        <v>0</v>
      </c>
      <c r="BG78" s="75">
        <f t="shared" si="113"/>
        <v>0</v>
      </c>
      <c r="BH78" s="75">
        <f t="shared" si="114"/>
        <v>0</v>
      </c>
      <c r="BI78" s="75"/>
      <c r="BJ78" s="75">
        <f t="shared" si="115"/>
        <v>0</v>
      </c>
      <c r="BK78" s="75"/>
      <c r="BL78" s="75">
        <f t="shared" si="116"/>
        <v>0</v>
      </c>
      <c r="BM78" s="75">
        <f t="shared" si="117"/>
        <v>0</v>
      </c>
      <c r="BN78" s="75"/>
      <c r="BO78" s="75">
        <f>V78-AS78</f>
        <v>0</v>
      </c>
      <c r="BP78" s="75">
        <f t="shared" si="137"/>
        <v>0</v>
      </c>
      <c r="BQ78" s="75">
        <f t="shared" si="139"/>
        <v>0</v>
      </c>
      <c r="BR78" s="75">
        <f t="shared" si="140"/>
        <v>0</v>
      </c>
      <c r="BS78" s="75">
        <f t="shared" si="141"/>
        <v>0</v>
      </c>
      <c r="BT78" s="75">
        <f t="shared" si="142"/>
        <v>0</v>
      </c>
      <c r="BU78" s="75">
        <f>AB78-AY78</f>
        <v>0</v>
      </c>
      <c r="BV78" s="75">
        <f t="shared" si="143"/>
        <v>0</v>
      </c>
      <c r="BW78" s="75">
        <f t="shared" si="144"/>
        <v>0</v>
      </c>
      <c r="BX78" s="75"/>
      <c r="BY78" s="75"/>
      <c r="BZ78" s="75">
        <f t="shared" si="119"/>
        <v>0</v>
      </c>
      <c r="CA78" s="25">
        <f t="shared" si="120"/>
        <v>0.89879176000000005</v>
      </c>
      <c r="CB78" s="75">
        <f t="shared" si="121"/>
        <v>247167734</v>
      </c>
      <c r="CC78" s="75"/>
      <c r="CD78" s="75"/>
      <c r="CE78" s="75"/>
      <c r="CF78" s="75"/>
      <c r="CG78" s="75"/>
      <c r="CH78" s="75"/>
      <c r="CI78" s="75">
        <f>+'[1]AGOSTO 2015'!$H$2570</f>
        <v>247167734</v>
      </c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25">
        <f t="shared" si="122"/>
        <v>0.10120823999999995</v>
      </c>
      <c r="CX78" s="75">
        <f t="shared" si="123"/>
        <v>27832266</v>
      </c>
      <c r="CY78" s="75"/>
      <c r="CZ78" s="75">
        <f>O78-CD78</f>
        <v>0</v>
      </c>
      <c r="DA78" s="75">
        <f>P78-CE78</f>
        <v>0</v>
      </c>
      <c r="DB78" s="75">
        <f t="shared" si="124"/>
        <v>0</v>
      </c>
      <c r="DC78" s="75"/>
      <c r="DD78" s="75">
        <f t="shared" si="125"/>
        <v>0</v>
      </c>
      <c r="DE78" s="75">
        <f t="shared" si="126"/>
        <v>27832266</v>
      </c>
      <c r="DF78" s="75"/>
      <c r="DG78" s="75">
        <f t="shared" si="127"/>
        <v>0</v>
      </c>
      <c r="DH78" s="75">
        <f t="shared" si="128"/>
        <v>0</v>
      </c>
      <c r="DI78" s="75"/>
      <c r="DJ78" s="75">
        <f t="shared" si="129"/>
        <v>0</v>
      </c>
      <c r="DK78" s="75">
        <f t="shared" si="130"/>
        <v>0</v>
      </c>
      <c r="DL78" s="75">
        <f t="shared" si="131"/>
        <v>0</v>
      </c>
      <c r="DM78" s="75">
        <f t="shared" si="132"/>
        <v>0</v>
      </c>
      <c r="DN78" s="75">
        <f t="shared" si="133"/>
        <v>0</v>
      </c>
      <c r="DO78" s="75">
        <f t="shared" si="134"/>
        <v>0</v>
      </c>
      <c r="DP78" s="75">
        <f t="shared" si="135"/>
        <v>0</v>
      </c>
      <c r="DQ78" s="75"/>
      <c r="DR78" s="75">
        <f t="shared" si="136"/>
        <v>0</v>
      </c>
    </row>
    <row r="79" spans="1:122" ht="35.25" customHeight="1" x14ac:dyDescent="0.25">
      <c r="A79" s="242"/>
      <c r="B79" s="81"/>
      <c r="C79" s="82" t="s">
        <v>269</v>
      </c>
      <c r="D79" s="81" t="s">
        <v>268</v>
      </c>
      <c r="E79" s="97">
        <v>520</v>
      </c>
      <c r="F79" s="78" t="s">
        <v>267</v>
      </c>
      <c r="G79" s="228"/>
      <c r="H79" s="79">
        <f t="shared" si="107"/>
        <v>770398</v>
      </c>
      <c r="I79" s="79">
        <f t="shared" si="108"/>
        <v>13396003</v>
      </c>
      <c r="J79" s="78"/>
      <c r="K79" s="78"/>
      <c r="L79" s="78"/>
      <c r="M79" s="75">
        <f t="shared" si="109"/>
        <v>14166401</v>
      </c>
      <c r="N79" s="45"/>
      <c r="O79" s="45"/>
      <c r="P79" s="45"/>
      <c r="Q79" s="45"/>
      <c r="R79" s="45"/>
      <c r="S79" s="4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>
        <f>5000000+3000000+6166401</f>
        <v>14166401</v>
      </c>
      <c r="AI79" s="25">
        <f t="shared" si="110"/>
        <v>0.3529477952798315</v>
      </c>
      <c r="AJ79" s="75">
        <f t="shared" si="111"/>
        <v>5000000</v>
      </c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>
        <f>+'[8]FEBRERO 2015'!$AC$1088</f>
        <v>5000000</v>
      </c>
      <c r="BE79" s="25">
        <f t="shared" si="91"/>
        <v>0.64705220472016856</v>
      </c>
      <c r="BF79" s="75">
        <f t="shared" si="112"/>
        <v>9166401</v>
      </c>
      <c r="BG79" s="75">
        <f t="shared" si="113"/>
        <v>0</v>
      </c>
      <c r="BH79" s="75">
        <f t="shared" si="114"/>
        <v>0</v>
      </c>
      <c r="BI79" s="75"/>
      <c r="BJ79" s="75">
        <f t="shared" si="115"/>
        <v>0</v>
      </c>
      <c r="BK79" s="75"/>
      <c r="BL79" s="75">
        <f t="shared" si="116"/>
        <v>0</v>
      </c>
      <c r="BM79" s="75">
        <f t="shared" si="117"/>
        <v>0</v>
      </c>
      <c r="BN79" s="75"/>
      <c r="BO79" s="75">
        <f>V79-AS79</f>
        <v>0</v>
      </c>
      <c r="BP79" s="75">
        <f t="shared" si="137"/>
        <v>0</v>
      </c>
      <c r="BQ79" s="75">
        <f t="shared" si="139"/>
        <v>0</v>
      </c>
      <c r="BR79" s="75">
        <f t="shared" si="140"/>
        <v>0</v>
      </c>
      <c r="BS79" s="75">
        <f t="shared" si="141"/>
        <v>0</v>
      </c>
      <c r="BT79" s="75">
        <f t="shared" si="142"/>
        <v>0</v>
      </c>
      <c r="BU79" s="75">
        <f>AB79-AY79</f>
        <v>0</v>
      </c>
      <c r="BV79" s="75">
        <f t="shared" si="143"/>
        <v>0</v>
      </c>
      <c r="BW79" s="75">
        <f t="shared" si="144"/>
        <v>0</v>
      </c>
      <c r="BX79" s="75"/>
      <c r="BY79" s="75"/>
      <c r="BZ79" s="75">
        <f t="shared" si="119"/>
        <v>9166401</v>
      </c>
      <c r="CA79" s="25">
        <f t="shared" si="120"/>
        <v>5.4382055117598325E-2</v>
      </c>
      <c r="CB79" s="75">
        <f t="shared" si="121"/>
        <v>770398</v>
      </c>
      <c r="CC79" s="75"/>
      <c r="CD79" s="75"/>
      <c r="CE79" s="75"/>
      <c r="CF79" s="75"/>
      <c r="CG79" s="75"/>
      <c r="CH79" s="75"/>
      <c r="CI79" s="75"/>
      <c r="CJ79" s="75"/>
      <c r="CK79" s="75"/>
      <c r="CL79" s="75"/>
      <c r="CM79" s="75"/>
      <c r="CN79" s="75"/>
      <c r="CO79" s="75"/>
      <c r="CP79" s="75"/>
      <c r="CQ79" s="75"/>
      <c r="CR79" s="75"/>
      <c r="CS79" s="75"/>
      <c r="CT79" s="75"/>
      <c r="CU79" s="75"/>
      <c r="CV79" s="75">
        <f>+'[8]FEBRERO 2015'!$H$1086</f>
        <v>770398</v>
      </c>
      <c r="CW79" s="25">
        <f t="shared" si="122"/>
        <v>0.9456179448824017</v>
      </c>
      <c r="CX79" s="75">
        <f t="shared" si="123"/>
        <v>13396003</v>
      </c>
      <c r="CY79" s="75"/>
      <c r="CZ79" s="75"/>
      <c r="DA79" s="75"/>
      <c r="DB79" s="75">
        <f t="shared" si="124"/>
        <v>0</v>
      </c>
      <c r="DC79" s="75"/>
      <c r="DD79" s="75">
        <f t="shared" si="125"/>
        <v>0</v>
      </c>
      <c r="DE79" s="75">
        <f t="shared" si="126"/>
        <v>0</v>
      </c>
      <c r="DF79" s="75"/>
      <c r="DG79" s="75">
        <f t="shared" si="127"/>
        <v>0</v>
      </c>
      <c r="DH79" s="75">
        <f t="shared" si="128"/>
        <v>0</v>
      </c>
      <c r="DI79" s="75"/>
      <c r="DJ79" s="75">
        <f t="shared" si="129"/>
        <v>0</v>
      </c>
      <c r="DK79" s="75">
        <f t="shared" si="130"/>
        <v>0</v>
      </c>
      <c r="DL79" s="75">
        <f t="shared" si="131"/>
        <v>0</v>
      </c>
      <c r="DM79" s="75">
        <f t="shared" si="132"/>
        <v>0</v>
      </c>
      <c r="DN79" s="75">
        <f t="shared" si="133"/>
        <v>0</v>
      </c>
      <c r="DO79" s="75">
        <f t="shared" si="134"/>
        <v>0</v>
      </c>
      <c r="DP79" s="75">
        <f t="shared" si="135"/>
        <v>0</v>
      </c>
      <c r="DQ79" s="75"/>
      <c r="DR79" s="75">
        <f t="shared" si="136"/>
        <v>13396003</v>
      </c>
    </row>
    <row r="80" spans="1:122" ht="37.5" customHeight="1" x14ac:dyDescent="0.25">
      <c r="A80" s="242"/>
      <c r="B80" s="81"/>
      <c r="C80" s="82" t="s">
        <v>266</v>
      </c>
      <c r="D80" s="81" t="s">
        <v>265</v>
      </c>
      <c r="E80" s="97">
        <v>520</v>
      </c>
      <c r="F80" s="78" t="s">
        <v>74</v>
      </c>
      <c r="G80" s="228"/>
      <c r="H80" s="79">
        <f t="shared" si="107"/>
        <v>4550000</v>
      </c>
      <c r="I80" s="79">
        <f t="shared" si="108"/>
        <v>5450000</v>
      </c>
      <c r="J80" s="78"/>
      <c r="K80" s="78"/>
      <c r="L80" s="78"/>
      <c r="M80" s="75">
        <f t="shared" si="109"/>
        <v>10000000</v>
      </c>
      <c r="N80" s="45"/>
      <c r="O80" s="45"/>
      <c r="P80" s="45"/>
      <c r="Q80" s="45"/>
      <c r="R80" s="45"/>
      <c r="S80" s="4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>
        <f>5000000+5000000</f>
        <v>10000000</v>
      </c>
      <c r="AI80" s="25">
        <f t="shared" si="110"/>
        <v>0.45500000000000002</v>
      </c>
      <c r="AJ80" s="75">
        <f t="shared" si="111"/>
        <v>4550000</v>
      </c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>
        <f>+'[1]AGOSTO 2015'!$AD$2654</f>
        <v>4550000</v>
      </c>
      <c r="BE80" s="25">
        <f t="shared" si="91"/>
        <v>0.54499999999999993</v>
      </c>
      <c r="BF80" s="75">
        <f t="shared" si="112"/>
        <v>5450000</v>
      </c>
      <c r="BG80" s="75">
        <f t="shared" si="113"/>
        <v>0</v>
      </c>
      <c r="BH80" s="75">
        <f t="shared" si="114"/>
        <v>0</v>
      </c>
      <c r="BI80" s="75"/>
      <c r="BJ80" s="75">
        <f t="shared" si="115"/>
        <v>0</v>
      </c>
      <c r="BK80" s="75"/>
      <c r="BL80" s="75">
        <f t="shared" si="116"/>
        <v>0</v>
      </c>
      <c r="BM80" s="75">
        <f t="shared" si="117"/>
        <v>0</v>
      </c>
      <c r="BN80" s="75"/>
      <c r="BO80" s="75">
        <f>V80-AS80</f>
        <v>0</v>
      </c>
      <c r="BP80" s="75">
        <f t="shared" si="137"/>
        <v>0</v>
      </c>
      <c r="BQ80" s="75"/>
      <c r="BR80" s="75">
        <f t="shared" si="140"/>
        <v>0</v>
      </c>
      <c r="BS80" s="75">
        <f t="shared" si="141"/>
        <v>0</v>
      </c>
      <c r="BT80" s="75">
        <f t="shared" si="142"/>
        <v>0</v>
      </c>
      <c r="BU80" s="75">
        <f>AB80-AY80</f>
        <v>0</v>
      </c>
      <c r="BV80" s="75">
        <f t="shared" si="143"/>
        <v>0</v>
      </c>
      <c r="BW80" s="75">
        <f t="shared" si="144"/>
        <v>0</v>
      </c>
      <c r="BX80" s="75"/>
      <c r="BY80" s="75"/>
      <c r="BZ80" s="75">
        <f t="shared" si="119"/>
        <v>5450000</v>
      </c>
      <c r="CA80" s="25">
        <f t="shared" si="120"/>
        <v>0.45500000000000002</v>
      </c>
      <c r="CB80" s="75">
        <f t="shared" si="121"/>
        <v>4550000</v>
      </c>
      <c r="CC80" s="75"/>
      <c r="CD80" s="75"/>
      <c r="CE80" s="75"/>
      <c r="CF80" s="75"/>
      <c r="CG80" s="75"/>
      <c r="CH80" s="75"/>
      <c r="CI80" s="75"/>
      <c r="CJ80" s="75"/>
      <c r="CK80" s="75"/>
      <c r="CL80" s="75"/>
      <c r="CM80" s="75"/>
      <c r="CN80" s="75"/>
      <c r="CO80" s="75"/>
      <c r="CP80" s="75"/>
      <c r="CQ80" s="75"/>
      <c r="CR80" s="75"/>
      <c r="CS80" s="75"/>
      <c r="CT80" s="75"/>
      <c r="CU80" s="75"/>
      <c r="CV80" s="75">
        <f>+'[6]JUNIO 2015'!$H$2022</f>
        <v>4550000</v>
      </c>
      <c r="CW80" s="25">
        <f t="shared" si="122"/>
        <v>0.54499999999999993</v>
      </c>
      <c r="CX80" s="75">
        <f t="shared" si="123"/>
        <v>5450000</v>
      </c>
      <c r="CY80" s="75"/>
      <c r="CZ80" s="75"/>
      <c r="DA80" s="75"/>
      <c r="DB80" s="75">
        <f t="shared" si="124"/>
        <v>0</v>
      </c>
      <c r="DC80" s="75"/>
      <c r="DD80" s="75">
        <f t="shared" si="125"/>
        <v>0</v>
      </c>
      <c r="DE80" s="75">
        <f t="shared" si="126"/>
        <v>0</v>
      </c>
      <c r="DF80" s="75"/>
      <c r="DG80" s="75">
        <f t="shared" si="127"/>
        <v>0</v>
      </c>
      <c r="DH80" s="75">
        <f t="shared" si="128"/>
        <v>0</v>
      </c>
      <c r="DI80" s="75"/>
      <c r="DJ80" s="75">
        <f t="shared" si="129"/>
        <v>0</v>
      </c>
      <c r="DK80" s="75">
        <f t="shared" si="130"/>
        <v>0</v>
      </c>
      <c r="DL80" s="75">
        <f t="shared" si="131"/>
        <v>0</v>
      </c>
      <c r="DM80" s="75">
        <f t="shared" si="132"/>
        <v>0</v>
      </c>
      <c r="DN80" s="75">
        <f t="shared" si="133"/>
        <v>0</v>
      </c>
      <c r="DO80" s="75">
        <f t="shared" si="134"/>
        <v>0</v>
      </c>
      <c r="DP80" s="75">
        <f t="shared" si="135"/>
        <v>0</v>
      </c>
      <c r="DQ80" s="75"/>
      <c r="DR80" s="75">
        <f t="shared" si="136"/>
        <v>5450000</v>
      </c>
    </row>
    <row r="81" spans="1:122" ht="26.25" customHeight="1" x14ac:dyDescent="0.25">
      <c r="A81" s="242"/>
      <c r="B81" s="81"/>
      <c r="C81" s="82" t="s">
        <v>264</v>
      </c>
      <c r="D81" s="81" t="s">
        <v>263</v>
      </c>
      <c r="E81" s="97">
        <v>520</v>
      </c>
      <c r="F81" s="78" t="s">
        <v>214</v>
      </c>
      <c r="G81" s="228"/>
      <c r="H81" s="79">
        <f t="shared" si="107"/>
        <v>189398040</v>
      </c>
      <c r="I81" s="79">
        <f t="shared" si="108"/>
        <v>160601960</v>
      </c>
      <c r="J81" s="78"/>
      <c r="K81" s="78"/>
      <c r="L81" s="78"/>
      <c r="M81" s="75">
        <f t="shared" si="109"/>
        <v>350000000</v>
      </c>
      <c r="N81" s="45"/>
      <c r="O81" s="45"/>
      <c r="P81" s="45"/>
      <c r="Q81" s="45"/>
      <c r="R81" s="45"/>
      <c r="S81" s="45"/>
      <c r="T81" s="75">
        <f>400000000-30000000-20000000</f>
        <v>350000000</v>
      </c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113"/>
      <c r="AI81" s="25">
        <f t="shared" si="110"/>
        <v>1</v>
      </c>
      <c r="AJ81" s="75">
        <f t="shared" si="111"/>
        <v>350000000</v>
      </c>
      <c r="AK81" s="75"/>
      <c r="AL81" s="75"/>
      <c r="AM81" s="75"/>
      <c r="AN81" s="75"/>
      <c r="AO81" s="75"/>
      <c r="AP81" s="75"/>
      <c r="AQ81" s="75">
        <f>+'[4]MARZO 2015'!$O$1360-20000000</f>
        <v>350000000</v>
      </c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25">
        <f t="shared" si="91"/>
        <v>0</v>
      </c>
      <c r="BF81" s="75">
        <f t="shared" si="112"/>
        <v>0</v>
      </c>
      <c r="BG81" s="75">
        <f t="shared" si="113"/>
        <v>0</v>
      </c>
      <c r="BH81" s="75">
        <f t="shared" si="114"/>
        <v>0</v>
      </c>
      <c r="BI81" s="75"/>
      <c r="BJ81" s="75">
        <f t="shared" si="115"/>
        <v>0</v>
      </c>
      <c r="BK81" s="75"/>
      <c r="BL81" s="75">
        <f t="shared" si="116"/>
        <v>0</v>
      </c>
      <c r="BM81" s="75">
        <f t="shared" si="117"/>
        <v>0</v>
      </c>
      <c r="BN81" s="75"/>
      <c r="BO81" s="75">
        <f t="shared" ref="BO81:BO102" si="145">+V81-AS81</f>
        <v>0</v>
      </c>
      <c r="BP81" s="75">
        <f t="shared" si="137"/>
        <v>0</v>
      </c>
      <c r="BQ81" s="75">
        <f>+X81-AU81</f>
        <v>0</v>
      </c>
      <c r="BR81" s="75">
        <f t="shared" si="140"/>
        <v>0</v>
      </c>
      <c r="BS81" s="75">
        <f t="shared" si="141"/>
        <v>0</v>
      </c>
      <c r="BT81" s="75">
        <f t="shared" si="142"/>
        <v>0</v>
      </c>
      <c r="BU81" s="75">
        <f t="shared" ref="BU81:BU102" si="146">+AB81-AY81</f>
        <v>0</v>
      </c>
      <c r="BV81" s="75">
        <f t="shared" si="143"/>
        <v>0</v>
      </c>
      <c r="BW81" s="75">
        <f t="shared" si="144"/>
        <v>0</v>
      </c>
      <c r="BX81" s="75">
        <f>+AE81-BB81</f>
        <v>0</v>
      </c>
      <c r="BY81" s="75"/>
      <c r="BZ81" s="75">
        <f t="shared" si="119"/>
        <v>0</v>
      </c>
      <c r="CA81" s="25">
        <f t="shared" si="120"/>
        <v>0.5411372571428571</v>
      </c>
      <c r="CB81" s="75">
        <f t="shared" si="121"/>
        <v>189398040</v>
      </c>
      <c r="CC81" s="75"/>
      <c r="CD81" s="75"/>
      <c r="CE81" s="75"/>
      <c r="CF81" s="75"/>
      <c r="CG81" s="75"/>
      <c r="CH81" s="75"/>
      <c r="CI81" s="75">
        <f>+'[1]AGOSTO 2015'!$H$2661</f>
        <v>189398040</v>
      </c>
      <c r="CJ81" s="75"/>
      <c r="CK81" s="75"/>
      <c r="CL81" s="75"/>
      <c r="CM81" s="75"/>
      <c r="CN81" s="75"/>
      <c r="CO81" s="75"/>
      <c r="CP81" s="75"/>
      <c r="CQ81" s="75"/>
      <c r="CR81" s="75"/>
      <c r="CS81" s="75"/>
      <c r="CT81" s="75"/>
      <c r="CU81" s="75"/>
      <c r="CV81" s="75"/>
      <c r="CW81" s="25">
        <f t="shared" si="122"/>
        <v>0.4588627428571429</v>
      </c>
      <c r="CX81" s="75">
        <f t="shared" si="123"/>
        <v>160601960</v>
      </c>
      <c r="CY81" s="75"/>
      <c r="CZ81" s="75"/>
      <c r="DA81" s="75"/>
      <c r="DB81" s="75">
        <f t="shared" si="124"/>
        <v>0</v>
      </c>
      <c r="DC81" s="75"/>
      <c r="DD81" s="75">
        <f t="shared" si="125"/>
        <v>0</v>
      </c>
      <c r="DE81" s="75">
        <f t="shared" si="126"/>
        <v>160601960</v>
      </c>
      <c r="DF81" s="75"/>
      <c r="DG81" s="75">
        <f t="shared" si="127"/>
        <v>0</v>
      </c>
      <c r="DH81" s="75">
        <f t="shared" si="128"/>
        <v>0</v>
      </c>
      <c r="DI81" s="75"/>
      <c r="DJ81" s="75">
        <f t="shared" si="129"/>
        <v>0</v>
      </c>
      <c r="DK81" s="75">
        <f t="shared" si="130"/>
        <v>0</v>
      </c>
      <c r="DL81" s="75">
        <f t="shared" si="131"/>
        <v>0</v>
      </c>
      <c r="DM81" s="75">
        <f t="shared" si="132"/>
        <v>0</v>
      </c>
      <c r="DN81" s="75">
        <f t="shared" si="133"/>
        <v>0</v>
      </c>
      <c r="DO81" s="75">
        <f t="shared" si="134"/>
        <v>0</v>
      </c>
      <c r="DP81" s="75">
        <f t="shared" si="135"/>
        <v>0</v>
      </c>
      <c r="DQ81" s="75"/>
      <c r="DR81" s="75">
        <f t="shared" si="136"/>
        <v>0</v>
      </c>
    </row>
    <row r="82" spans="1:122" ht="49.5" customHeight="1" x14ac:dyDescent="0.25">
      <c r="A82" s="242"/>
      <c r="B82" s="81"/>
      <c r="C82" s="82" t="s">
        <v>262</v>
      </c>
      <c r="D82" s="81" t="s">
        <v>261</v>
      </c>
      <c r="E82" s="97">
        <v>520</v>
      </c>
      <c r="F82" s="78" t="s">
        <v>74</v>
      </c>
      <c r="G82" s="228"/>
      <c r="H82" s="79">
        <f t="shared" si="107"/>
        <v>4697418</v>
      </c>
      <c r="I82" s="79">
        <f t="shared" si="108"/>
        <v>1802582</v>
      </c>
      <c r="J82" s="78"/>
      <c r="K82" s="78"/>
      <c r="L82" s="78"/>
      <c r="M82" s="75">
        <f t="shared" si="109"/>
        <v>6500000</v>
      </c>
      <c r="N82" s="45"/>
      <c r="O82" s="45"/>
      <c r="P82" s="45"/>
      <c r="Q82" s="45"/>
      <c r="R82" s="45"/>
      <c r="S82" s="4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>
        <f>4000000+2500000</f>
        <v>6500000</v>
      </c>
      <c r="AH82" s="113"/>
      <c r="AI82" s="25">
        <f t="shared" si="110"/>
        <v>1</v>
      </c>
      <c r="AJ82" s="75">
        <f t="shared" si="111"/>
        <v>6500000</v>
      </c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>
        <f>+'[2]JULIO 2015'!$AD$2444</f>
        <v>6500000</v>
      </c>
      <c r="BE82" s="25">
        <f t="shared" si="91"/>
        <v>0</v>
      </c>
      <c r="BF82" s="75">
        <f t="shared" si="112"/>
        <v>0</v>
      </c>
      <c r="BG82" s="75">
        <f t="shared" si="113"/>
        <v>0</v>
      </c>
      <c r="BH82" s="75">
        <f t="shared" si="114"/>
        <v>0</v>
      </c>
      <c r="BI82" s="75"/>
      <c r="BJ82" s="75">
        <f t="shared" si="115"/>
        <v>0</v>
      </c>
      <c r="BK82" s="75"/>
      <c r="BL82" s="75">
        <f t="shared" si="116"/>
        <v>0</v>
      </c>
      <c r="BM82" s="75">
        <f t="shared" si="117"/>
        <v>0</v>
      </c>
      <c r="BN82" s="75"/>
      <c r="BO82" s="75">
        <f t="shared" si="145"/>
        <v>0</v>
      </c>
      <c r="BP82" s="75">
        <f t="shared" si="137"/>
        <v>0</v>
      </c>
      <c r="BQ82" s="75">
        <f>+X82-AU82</f>
        <v>0</v>
      </c>
      <c r="BR82" s="75">
        <f t="shared" si="140"/>
        <v>0</v>
      </c>
      <c r="BS82" s="75">
        <f t="shared" si="141"/>
        <v>0</v>
      </c>
      <c r="BT82" s="75">
        <f t="shared" si="142"/>
        <v>0</v>
      </c>
      <c r="BU82" s="75">
        <f t="shared" si="146"/>
        <v>0</v>
      </c>
      <c r="BV82" s="75">
        <f t="shared" si="143"/>
        <v>0</v>
      </c>
      <c r="BW82" s="75">
        <f t="shared" si="144"/>
        <v>0</v>
      </c>
      <c r="BX82" s="75"/>
      <c r="BY82" s="75"/>
      <c r="BZ82" s="75">
        <f t="shared" si="119"/>
        <v>0</v>
      </c>
      <c r="CA82" s="25">
        <f t="shared" si="120"/>
        <v>0.72267969230769236</v>
      </c>
      <c r="CB82" s="75">
        <f t="shared" si="121"/>
        <v>4697418</v>
      </c>
      <c r="CC82" s="75"/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5"/>
      <c r="CP82" s="75"/>
      <c r="CQ82" s="75"/>
      <c r="CR82" s="75"/>
      <c r="CS82" s="75"/>
      <c r="CT82" s="75"/>
      <c r="CU82" s="75"/>
      <c r="CV82" s="75">
        <f>+'[1]AGOSTO 2015'!$H$2737</f>
        <v>4697418</v>
      </c>
      <c r="CW82" s="25">
        <f t="shared" si="122"/>
        <v>0.27732030769230764</v>
      </c>
      <c r="CX82" s="75">
        <f t="shared" si="123"/>
        <v>1802582</v>
      </c>
      <c r="CY82" s="75"/>
      <c r="CZ82" s="75"/>
      <c r="DA82" s="75"/>
      <c r="DB82" s="75">
        <f t="shared" si="124"/>
        <v>0</v>
      </c>
      <c r="DC82" s="75"/>
      <c r="DD82" s="75">
        <f t="shared" si="125"/>
        <v>0</v>
      </c>
      <c r="DE82" s="75">
        <f t="shared" si="126"/>
        <v>0</v>
      </c>
      <c r="DF82" s="75"/>
      <c r="DG82" s="75">
        <f t="shared" si="127"/>
        <v>0</v>
      </c>
      <c r="DH82" s="75">
        <f t="shared" si="128"/>
        <v>0</v>
      </c>
      <c r="DI82" s="75"/>
      <c r="DJ82" s="75">
        <f t="shared" si="129"/>
        <v>0</v>
      </c>
      <c r="DK82" s="75">
        <f t="shared" si="130"/>
        <v>0</v>
      </c>
      <c r="DL82" s="75">
        <f t="shared" si="131"/>
        <v>0</v>
      </c>
      <c r="DM82" s="75">
        <f t="shared" si="132"/>
        <v>0</v>
      </c>
      <c r="DN82" s="75">
        <f t="shared" si="133"/>
        <v>0</v>
      </c>
      <c r="DO82" s="75">
        <f t="shared" si="134"/>
        <v>0</v>
      </c>
      <c r="DP82" s="75">
        <f t="shared" si="135"/>
        <v>0</v>
      </c>
      <c r="DQ82" s="75"/>
      <c r="DR82" s="75">
        <f t="shared" si="136"/>
        <v>1802582</v>
      </c>
    </row>
    <row r="83" spans="1:122" ht="36" customHeight="1" x14ac:dyDescent="0.25">
      <c r="A83" s="242"/>
      <c r="B83" s="119"/>
      <c r="C83" s="82" t="s">
        <v>260</v>
      </c>
      <c r="D83" s="81" t="s">
        <v>259</v>
      </c>
      <c r="E83" s="118">
        <v>520</v>
      </c>
      <c r="F83" s="78" t="s">
        <v>214</v>
      </c>
      <c r="G83" s="228"/>
      <c r="H83" s="79">
        <f t="shared" si="107"/>
        <v>25243919</v>
      </c>
      <c r="I83" s="79">
        <f t="shared" si="108"/>
        <v>74756081</v>
      </c>
      <c r="J83" s="78"/>
      <c r="K83" s="78"/>
      <c r="L83" s="78"/>
      <c r="M83" s="75">
        <f t="shared" si="109"/>
        <v>100000000</v>
      </c>
      <c r="N83" s="117"/>
      <c r="O83" s="115">
        <f>100000000-100000000</f>
        <v>0</v>
      </c>
      <c r="P83" s="115"/>
      <c r="Q83" s="117"/>
      <c r="R83" s="117"/>
      <c r="S83" s="117"/>
      <c r="T83" s="75">
        <v>100000000</v>
      </c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113"/>
      <c r="AI83" s="25">
        <f t="shared" si="110"/>
        <v>1</v>
      </c>
      <c r="AJ83" s="75">
        <f t="shared" si="111"/>
        <v>100000000</v>
      </c>
      <c r="AK83" s="75"/>
      <c r="AL83" s="75"/>
      <c r="AM83" s="75"/>
      <c r="AN83" s="75"/>
      <c r="AO83" s="75"/>
      <c r="AP83" s="75"/>
      <c r="AQ83" s="75">
        <f>+'[5]FEBRERO 2015'!$O$1182</f>
        <v>100000000</v>
      </c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25">
        <f t="shared" si="91"/>
        <v>0</v>
      </c>
      <c r="BF83" s="75">
        <f t="shared" si="112"/>
        <v>0</v>
      </c>
      <c r="BG83" s="75">
        <f t="shared" si="113"/>
        <v>0</v>
      </c>
      <c r="BH83" s="75">
        <f t="shared" si="114"/>
        <v>0</v>
      </c>
      <c r="BI83" s="75"/>
      <c r="BJ83" s="75">
        <f t="shared" si="115"/>
        <v>0</v>
      </c>
      <c r="BK83" s="75"/>
      <c r="BL83" s="75">
        <f t="shared" si="116"/>
        <v>0</v>
      </c>
      <c r="BM83" s="75">
        <f t="shared" si="117"/>
        <v>0</v>
      </c>
      <c r="BN83" s="75"/>
      <c r="BO83" s="75">
        <f t="shared" si="145"/>
        <v>0</v>
      </c>
      <c r="BP83" s="75">
        <f t="shared" si="137"/>
        <v>0</v>
      </c>
      <c r="BQ83" s="75">
        <f>+X83-AU83</f>
        <v>0</v>
      </c>
      <c r="BR83" s="75">
        <f t="shared" si="140"/>
        <v>0</v>
      </c>
      <c r="BS83" s="75">
        <f t="shared" si="141"/>
        <v>0</v>
      </c>
      <c r="BT83" s="75">
        <f t="shared" si="142"/>
        <v>0</v>
      </c>
      <c r="BU83" s="75">
        <f t="shared" si="146"/>
        <v>0</v>
      </c>
      <c r="BV83" s="75">
        <f t="shared" si="143"/>
        <v>0</v>
      </c>
      <c r="BW83" s="75">
        <f t="shared" si="144"/>
        <v>0</v>
      </c>
      <c r="BX83" s="75"/>
      <c r="BY83" s="75"/>
      <c r="BZ83" s="75">
        <f t="shared" si="119"/>
        <v>0</v>
      </c>
      <c r="CA83" s="25">
        <f t="shared" si="120"/>
        <v>0.25243918999999998</v>
      </c>
      <c r="CB83" s="75">
        <f t="shared" si="121"/>
        <v>25243919</v>
      </c>
      <c r="CC83" s="75"/>
      <c r="CD83" s="75"/>
      <c r="CE83" s="75"/>
      <c r="CF83" s="75"/>
      <c r="CG83" s="75"/>
      <c r="CH83" s="75"/>
      <c r="CI83" s="75">
        <f>+'[1]AGOSTO 2015'!$H$2755</f>
        <v>25243919</v>
      </c>
      <c r="CJ83" s="75"/>
      <c r="CK83" s="75"/>
      <c r="CL83" s="75"/>
      <c r="CM83" s="75"/>
      <c r="CN83" s="75"/>
      <c r="CO83" s="75"/>
      <c r="CP83" s="75"/>
      <c r="CQ83" s="75"/>
      <c r="CR83" s="75"/>
      <c r="CS83" s="75"/>
      <c r="CT83" s="75"/>
      <c r="CU83" s="75"/>
      <c r="CV83" s="75"/>
      <c r="CW83" s="25">
        <f t="shared" si="122"/>
        <v>0.74756080999999996</v>
      </c>
      <c r="CX83" s="75">
        <f t="shared" si="123"/>
        <v>74756081</v>
      </c>
      <c r="CY83" s="75"/>
      <c r="CZ83" s="75">
        <f>O83-CD83</f>
        <v>0</v>
      </c>
      <c r="DA83" s="75">
        <f>P83-CE83</f>
        <v>0</v>
      </c>
      <c r="DB83" s="75">
        <f t="shared" si="124"/>
        <v>0</v>
      </c>
      <c r="DC83" s="75"/>
      <c r="DD83" s="75">
        <f t="shared" si="125"/>
        <v>0</v>
      </c>
      <c r="DE83" s="75">
        <f t="shared" si="126"/>
        <v>74756081</v>
      </c>
      <c r="DF83" s="75"/>
      <c r="DG83" s="75">
        <f t="shared" si="127"/>
        <v>0</v>
      </c>
      <c r="DH83" s="75">
        <f t="shared" si="128"/>
        <v>0</v>
      </c>
      <c r="DI83" s="75"/>
      <c r="DJ83" s="75">
        <f t="shared" si="129"/>
        <v>0</v>
      </c>
      <c r="DK83" s="75">
        <f t="shared" si="130"/>
        <v>0</v>
      </c>
      <c r="DL83" s="75">
        <f t="shared" si="131"/>
        <v>0</v>
      </c>
      <c r="DM83" s="75">
        <f t="shared" si="132"/>
        <v>0</v>
      </c>
      <c r="DN83" s="75">
        <f t="shared" si="133"/>
        <v>0</v>
      </c>
      <c r="DO83" s="75">
        <f t="shared" si="134"/>
        <v>0</v>
      </c>
      <c r="DP83" s="75">
        <f t="shared" si="135"/>
        <v>0</v>
      </c>
      <c r="DQ83" s="75"/>
      <c r="DR83" s="75">
        <f t="shared" si="136"/>
        <v>0</v>
      </c>
    </row>
    <row r="84" spans="1:122" ht="33" customHeight="1" x14ac:dyDescent="0.25">
      <c r="A84" s="242"/>
      <c r="B84" s="81"/>
      <c r="C84" s="82" t="s">
        <v>258</v>
      </c>
      <c r="D84" s="81" t="s">
        <v>257</v>
      </c>
      <c r="E84" s="97">
        <v>520</v>
      </c>
      <c r="F84" s="78" t="s">
        <v>214</v>
      </c>
      <c r="G84" s="228"/>
      <c r="H84" s="79">
        <f t="shared" si="107"/>
        <v>63277331</v>
      </c>
      <c r="I84" s="79">
        <f t="shared" si="108"/>
        <v>66722669</v>
      </c>
      <c r="J84" s="78"/>
      <c r="K84" s="78"/>
      <c r="L84" s="78"/>
      <c r="M84" s="75">
        <f t="shared" si="109"/>
        <v>130000000</v>
      </c>
      <c r="N84" s="45"/>
      <c r="O84" s="115">
        <f>200000000-200000000</f>
        <v>0</v>
      </c>
      <c r="P84" s="115"/>
      <c r="Q84" s="45"/>
      <c r="R84" s="45"/>
      <c r="S84" s="45"/>
      <c r="T84" s="75">
        <f>200000000-60000000-10000000</f>
        <v>130000000</v>
      </c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113"/>
      <c r="AI84" s="25">
        <f t="shared" si="110"/>
        <v>1</v>
      </c>
      <c r="AJ84" s="75">
        <f t="shared" si="111"/>
        <v>130000000</v>
      </c>
      <c r="AK84" s="75"/>
      <c r="AL84" s="75"/>
      <c r="AM84" s="75"/>
      <c r="AN84" s="75"/>
      <c r="AO84" s="75"/>
      <c r="AP84" s="75"/>
      <c r="AQ84" s="75">
        <f>+'[3]ABRIL 2015'!$O$1649-10000000</f>
        <v>130000000</v>
      </c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25">
        <f t="shared" si="91"/>
        <v>0</v>
      </c>
      <c r="BF84" s="75">
        <f t="shared" si="112"/>
        <v>0</v>
      </c>
      <c r="BG84" s="75">
        <f t="shared" si="113"/>
        <v>0</v>
      </c>
      <c r="BH84" s="75">
        <f t="shared" si="114"/>
        <v>0</v>
      </c>
      <c r="BI84" s="75"/>
      <c r="BJ84" s="75">
        <f t="shared" si="115"/>
        <v>0</v>
      </c>
      <c r="BK84" s="75"/>
      <c r="BL84" s="75">
        <f t="shared" si="116"/>
        <v>0</v>
      </c>
      <c r="BM84" s="75">
        <f t="shared" si="117"/>
        <v>0</v>
      </c>
      <c r="BN84" s="75"/>
      <c r="BO84" s="75">
        <f t="shared" si="145"/>
        <v>0</v>
      </c>
      <c r="BP84" s="75">
        <f t="shared" si="137"/>
        <v>0</v>
      </c>
      <c r="BQ84" s="75">
        <f>+X84-AU84</f>
        <v>0</v>
      </c>
      <c r="BR84" s="75">
        <f t="shared" si="140"/>
        <v>0</v>
      </c>
      <c r="BS84" s="75">
        <f t="shared" si="141"/>
        <v>0</v>
      </c>
      <c r="BT84" s="75">
        <f t="shared" si="142"/>
        <v>0</v>
      </c>
      <c r="BU84" s="75">
        <f t="shared" si="146"/>
        <v>0</v>
      </c>
      <c r="BV84" s="75">
        <f t="shared" si="143"/>
        <v>0</v>
      </c>
      <c r="BW84" s="75">
        <f t="shared" si="144"/>
        <v>0</v>
      </c>
      <c r="BX84" s="75"/>
      <c r="BY84" s="75"/>
      <c r="BZ84" s="75">
        <f t="shared" si="119"/>
        <v>0</v>
      </c>
      <c r="CA84" s="25">
        <f t="shared" si="120"/>
        <v>0.48674869999999998</v>
      </c>
      <c r="CB84" s="75">
        <f t="shared" si="121"/>
        <v>63277331</v>
      </c>
      <c r="CC84" s="75"/>
      <c r="CD84" s="75"/>
      <c r="CE84" s="75"/>
      <c r="CF84" s="75"/>
      <c r="CG84" s="75"/>
      <c r="CH84" s="75"/>
      <c r="CI84" s="75">
        <f>+'[1]AGOSTO 2015'!$H$2792</f>
        <v>63277331</v>
      </c>
      <c r="CJ84" s="75"/>
      <c r="CK84" s="75"/>
      <c r="CL84" s="75"/>
      <c r="CM84" s="75"/>
      <c r="CN84" s="75"/>
      <c r="CO84" s="75"/>
      <c r="CP84" s="75"/>
      <c r="CQ84" s="75"/>
      <c r="CR84" s="75"/>
      <c r="CS84" s="75"/>
      <c r="CT84" s="75"/>
      <c r="CU84" s="75"/>
      <c r="CV84" s="75"/>
      <c r="CW84" s="25">
        <f t="shared" si="122"/>
        <v>0.51325130000000008</v>
      </c>
      <c r="CX84" s="75">
        <f t="shared" si="123"/>
        <v>66722669</v>
      </c>
      <c r="CY84" s="75"/>
      <c r="CZ84" s="75">
        <f>O84-CD84</f>
        <v>0</v>
      </c>
      <c r="DA84" s="75">
        <f>P84-CE84</f>
        <v>0</v>
      </c>
      <c r="DB84" s="75">
        <f t="shared" si="124"/>
        <v>0</v>
      </c>
      <c r="DC84" s="75"/>
      <c r="DD84" s="75">
        <f t="shared" si="125"/>
        <v>0</v>
      </c>
      <c r="DE84" s="75">
        <f t="shared" si="126"/>
        <v>66722669</v>
      </c>
      <c r="DF84" s="75"/>
      <c r="DG84" s="75">
        <f t="shared" si="127"/>
        <v>0</v>
      </c>
      <c r="DH84" s="75">
        <f t="shared" si="128"/>
        <v>0</v>
      </c>
      <c r="DI84" s="75"/>
      <c r="DJ84" s="75">
        <f t="shared" si="129"/>
        <v>0</v>
      </c>
      <c r="DK84" s="75">
        <f t="shared" si="130"/>
        <v>0</v>
      </c>
      <c r="DL84" s="75">
        <f t="shared" si="131"/>
        <v>0</v>
      </c>
      <c r="DM84" s="75">
        <f t="shared" si="132"/>
        <v>0</v>
      </c>
      <c r="DN84" s="75">
        <f t="shared" si="133"/>
        <v>0</v>
      </c>
      <c r="DO84" s="75">
        <f t="shared" si="134"/>
        <v>0</v>
      </c>
      <c r="DP84" s="75">
        <f t="shared" si="135"/>
        <v>0</v>
      </c>
      <c r="DQ84" s="75"/>
      <c r="DR84" s="75">
        <f t="shared" si="136"/>
        <v>0</v>
      </c>
    </row>
    <row r="85" spans="1:122" ht="57.75" customHeight="1" x14ac:dyDescent="0.25">
      <c r="A85" s="242"/>
      <c r="B85" s="119"/>
      <c r="C85" s="82" t="s">
        <v>256</v>
      </c>
      <c r="D85" s="81" t="s">
        <v>255</v>
      </c>
      <c r="E85" s="118">
        <v>520</v>
      </c>
      <c r="F85" s="78" t="s">
        <v>254</v>
      </c>
      <c r="G85" s="228"/>
      <c r="H85" s="79">
        <f t="shared" si="107"/>
        <v>394173684</v>
      </c>
      <c r="I85" s="79">
        <f t="shared" si="108"/>
        <v>47370149</v>
      </c>
      <c r="J85" s="78"/>
      <c r="K85" s="78"/>
      <c r="L85" s="78"/>
      <c r="M85" s="75">
        <f t="shared" si="109"/>
        <v>441543833</v>
      </c>
      <c r="N85" s="117"/>
      <c r="O85" s="117"/>
      <c r="P85" s="117"/>
      <c r="Q85" s="117"/>
      <c r="R85" s="117"/>
      <c r="S85" s="117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>
        <f>111000000+41000000+32000000+9000000+19000000+17271328+15000000+191272505+6000000</f>
        <v>441543833</v>
      </c>
      <c r="AH85" s="113"/>
      <c r="AI85" s="25">
        <f t="shared" si="110"/>
        <v>1</v>
      </c>
      <c r="AJ85" s="75">
        <f t="shared" si="111"/>
        <v>441543833</v>
      </c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>
        <f>+'[2]JULIO 2015'!$AD$2527</f>
        <v>441543833</v>
      </c>
      <c r="BE85" s="25">
        <f t="shared" si="91"/>
        <v>0</v>
      </c>
      <c r="BF85" s="75">
        <f t="shared" si="112"/>
        <v>0</v>
      </c>
      <c r="BG85" s="75">
        <f t="shared" si="113"/>
        <v>0</v>
      </c>
      <c r="BH85" s="75">
        <f t="shared" si="114"/>
        <v>0</v>
      </c>
      <c r="BI85" s="75"/>
      <c r="BJ85" s="75">
        <f t="shared" si="115"/>
        <v>0</v>
      </c>
      <c r="BK85" s="75"/>
      <c r="BL85" s="75">
        <f t="shared" si="116"/>
        <v>0</v>
      </c>
      <c r="BM85" s="75">
        <f t="shared" si="117"/>
        <v>0</v>
      </c>
      <c r="BN85" s="75"/>
      <c r="BO85" s="75">
        <f t="shared" si="145"/>
        <v>0</v>
      </c>
      <c r="BP85" s="75">
        <f t="shared" si="137"/>
        <v>0</v>
      </c>
      <c r="BQ85" s="75"/>
      <c r="BR85" s="75">
        <f t="shared" si="140"/>
        <v>0</v>
      </c>
      <c r="BS85" s="75">
        <f t="shared" si="141"/>
        <v>0</v>
      </c>
      <c r="BT85" s="75">
        <f t="shared" si="142"/>
        <v>0</v>
      </c>
      <c r="BU85" s="75">
        <f t="shared" si="146"/>
        <v>0</v>
      </c>
      <c r="BV85" s="75">
        <f t="shared" si="143"/>
        <v>0</v>
      </c>
      <c r="BW85" s="75">
        <f t="shared" si="144"/>
        <v>0</v>
      </c>
      <c r="BX85" s="75"/>
      <c r="BY85" s="75"/>
      <c r="BZ85" s="75">
        <f t="shared" si="119"/>
        <v>0</v>
      </c>
      <c r="CA85" s="25">
        <f t="shared" si="120"/>
        <v>0.8927169955513794</v>
      </c>
      <c r="CB85" s="75">
        <f t="shared" si="121"/>
        <v>394173684</v>
      </c>
      <c r="CC85" s="75"/>
      <c r="CD85" s="75"/>
      <c r="CE85" s="75"/>
      <c r="CF85" s="75"/>
      <c r="CG85" s="75"/>
      <c r="CH85" s="75"/>
      <c r="CI85" s="75"/>
      <c r="CJ85" s="75"/>
      <c r="CK85" s="75"/>
      <c r="CL85" s="75"/>
      <c r="CM85" s="75"/>
      <c r="CN85" s="75"/>
      <c r="CO85" s="75"/>
      <c r="CP85" s="75"/>
      <c r="CQ85" s="75"/>
      <c r="CR85" s="75"/>
      <c r="CS85" s="75"/>
      <c r="CT85" s="75"/>
      <c r="CU85" s="75"/>
      <c r="CV85" s="75">
        <f>+'[1]AGOSTO 2015'!$H$2835</f>
        <v>394173684</v>
      </c>
      <c r="CW85" s="25">
        <f t="shared" si="122"/>
        <v>0.1072830044486206</v>
      </c>
      <c r="CX85" s="75">
        <f t="shared" si="123"/>
        <v>47370149</v>
      </c>
      <c r="CY85" s="75"/>
      <c r="CZ85" s="75"/>
      <c r="DA85" s="75"/>
      <c r="DB85" s="75">
        <f t="shared" si="124"/>
        <v>0</v>
      </c>
      <c r="DC85" s="75"/>
      <c r="DD85" s="75">
        <f t="shared" si="125"/>
        <v>0</v>
      </c>
      <c r="DE85" s="75">
        <f t="shared" si="126"/>
        <v>0</v>
      </c>
      <c r="DF85" s="75"/>
      <c r="DG85" s="75">
        <f t="shared" si="127"/>
        <v>0</v>
      </c>
      <c r="DH85" s="75">
        <f t="shared" si="128"/>
        <v>0</v>
      </c>
      <c r="DI85" s="75"/>
      <c r="DJ85" s="75">
        <f t="shared" si="129"/>
        <v>0</v>
      </c>
      <c r="DK85" s="75">
        <f t="shared" si="130"/>
        <v>0</v>
      </c>
      <c r="DL85" s="75">
        <f t="shared" si="131"/>
        <v>0</v>
      </c>
      <c r="DM85" s="75">
        <f t="shared" si="132"/>
        <v>0</v>
      </c>
      <c r="DN85" s="75">
        <f t="shared" si="133"/>
        <v>0</v>
      </c>
      <c r="DO85" s="75">
        <f t="shared" si="134"/>
        <v>0</v>
      </c>
      <c r="DP85" s="75">
        <f t="shared" si="135"/>
        <v>0</v>
      </c>
      <c r="DQ85" s="75"/>
      <c r="DR85" s="75">
        <f t="shared" si="136"/>
        <v>47370149</v>
      </c>
    </row>
    <row r="86" spans="1:122" ht="39.75" customHeight="1" x14ac:dyDescent="0.25">
      <c r="A86" s="242"/>
      <c r="B86" s="81"/>
      <c r="C86" s="82" t="s">
        <v>253</v>
      </c>
      <c r="D86" s="81" t="s">
        <v>252</v>
      </c>
      <c r="E86" s="97">
        <v>520</v>
      </c>
      <c r="F86" s="78" t="s">
        <v>251</v>
      </c>
      <c r="G86" s="228"/>
      <c r="H86" s="79">
        <f t="shared" si="107"/>
        <v>3547686</v>
      </c>
      <c r="I86" s="79">
        <f t="shared" si="108"/>
        <v>21008011</v>
      </c>
      <c r="J86" s="78"/>
      <c r="K86" s="78"/>
      <c r="L86" s="78"/>
      <c r="M86" s="75">
        <f t="shared" si="109"/>
        <v>24555697</v>
      </c>
      <c r="N86" s="45"/>
      <c r="O86" s="45"/>
      <c r="P86" s="45"/>
      <c r="Q86" s="45"/>
      <c r="R86" s="45"/>
      <c r="S86" s="4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>
        <f>3000000+5000000+15055697+1500000</f>
        <v>24555697</v>
      </c>
      <c r="AH86" s="113"/>
      <c r="AI86" s="25">
        <f t="shared" si="110"/>
        <v>0.38687559958082235</v>
      </c>
      <c r="AJ86" s="75">
        <f t="shared" si="111"/>
        <v>9500000</v>
      </c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>
        <f>+'[2]JULIO 2015'!$AD$2598</f>
        <v>9500000</v>
      </c>
      <c r="BE86" s="25">
        <f t="shared" si="91"/>
        <v>0.6131244004191776</v>
      </c>
      <c r="BF86" s="75">
        <f t="shared" si="112"/>
        <v>15055697</v>
      </c>
      <c r="BG86" s="75">
        <f t="shared" si="113"/>
        <v>0</v>
      </c>
      <c r="BH86" s="75">
        <f t="shared" si="114"/>
        <v>0</v>
      </c>
      <c r="BI86" s="75"/>
      <c r="BJ86" s="75">
        <f t="shared" si="115"/>
        <v>0</v>
      </c>
      <c r="BK86" s="75"/>
      <c r="BL86" s="75">
        <f t="shared" si="116"/>
        <v>0</v>
      </c>
      <c r="BM86" s="75">
        <f t="shared" si="117"/>
        <v>0</v>
      </c>
      <c r="BN86" s="75"/>
      <c r="BO86" s="75">
        <f t="shared" si="145"/>
        <v>0</v>
      </c>
      <c r="BP86" s="75">
        <f t="shared" si="137"/>
        <v>0</v>
      </c>
      <c r="BQ86" s="75"/>
      <c r="BR86" s="75">
        <f t="shared" si="140"/>
        <v>0</v>
      </c>
      <c r="BS86" s="75">
        <f t="shared" si="141"/>
        <v>0</v>
      </c>
      <c r="BT86" s="75">
        <f t="shared" si="142"/>
        <v>0</v>
      </c>
      <c r="BU86" s="75">
        <f t="shared" si="146"/>
        <v>0</v>
      </c>
      <c r="BV86" s="75">
        <f t="shared" si="143"/>
        <v>0</v>
      </c>
      <c r="BW86" s="75">
        <f t="shared" si="144"/>
        <v>0</v>
      </c>
      <c r="BX86" s="75"/>
      <c r="BY86" s="75"/>
      <c r="BZ86" s="75">
        <f t="shared" si="119"/>
        <v>15055697</v>
      </c>
      <c r="CA86" s="25">
        <f t="shared" si="120"/>
        <v>0.14447506824994624</v>
      </c>
      <c r="CB86" s="75">
        <f t="shared" si="121"/>
        <v>3547686</v>
      </c>
      <c r="CC86" s="75"/>
      <c r="CD86" s="75"/>
      <c r="CE86" s="75"/>
      <c r="CF86" s="75"/>
      <c r="CG86" s="75"/>
      <c r="CH86" s="75"/>
      <c r="CI86" s="75"/>
      <c r="CJ86" s="75"/>
      <c r="CK86" s="75"/>
      <c r="CL86" s="75"/>
      <c r="CM86" s="75"/>
      <c r="CN86" s="75"/>
      <c r="CO86" s="75"/>
      <c r="CP86" s="75"/>
      <c r="CQ86" s="75"/>
      <c r="CR86" s="75"/>
      <c r="CS86" s="75"/>
      <c r="CT86" s="75"/>
      <c r="CU86" s="75"/>
      <c r="CV86" s="75">
        <f>+'[1]AGOSTO 2015'!$H$2909</f>
        <v>3547686</v>
      </c>
      <c r="CW86" s="25">
        <f t="shared" si="122"/>
        <v>0.85552493175005373</v>
      </c>
      <c r="CX86" s="75">
        <f t="shared" si="123"/>
        <v>21008011</v>
      </c>
      <c r="CY86" s="75"/>
      <c r="CZ86" s="75"/>
      <c r="DA86" s="75"/>
      <c r="DB86" s="75">
        <f t="shared" si="124"/>
        <v>0</v>
      </c>
      <c r="DC86" s="75"/>
      <c r="DD86" s="75">
        <f t="shared" si="125"/>
        <v>0</v>
      </c>
      <c r="DE86" s="75">
        <f t="shared" si="126"/>
        <v>0</v>
      </c>
      <c r="DF86" s="75"/>
      <c r="DG86" s="75">
        <f t="shared" si="127"/>
        <v>0</v>
      </c>
      <c r="DH86" s="75">
        <f t="shared" si="128"/>
        <v>0</v>
      </c>
      <c r="DI86" s="75"/>
      <c r="DJ86" s="75">
        <f t="shared" si="129"/>
        <v>0</v>
      </c>
      <c r="DK86" s="75">
        <f t="shared" si="130"/>
        <v>0</v>
      </c>
      <c r="DL86" s="75">
        <f t="shared" si="131"/>
        <v>0</v>
      </c>
      <c r="DM86" s="75">
        <f t="shared" si="132"/>
        <v>0</v>
      </c>
      <c r="DN86" s="75">
        <f t="shared" si="133"/>
        <v>0</v>
      </c>
      <c r="DO86" s="75">
        <f t="shared" si="134"/>
        <v>0</v>
      </c>
      <c r="DP86" s="75">
        <f t="shared" si="135"/>
        <v>0</v>
      </c>
      <c r="DQ86" s="75"/>
      <c r="DR86" s="75">
        <f t="shared" si="136"/>
        <v>21008011</v>
      </c>
    </row>
    <row r="87" spans="1:122" ht="36" customHeight="1" x14ac:dyDescent="0.25">
      <c r="A87" s="242"/>
      <c r="B87" s="81"/>
      <c r="C87" s="82" t="s">
        <v>250</v>
      </c>
      <c r="D87" s="81" t="s">
        <v>249</v>
      </c>
      <c r="E87" s="97">
        <v>520</v>
      </c>
      <c r="F87" s="78" t="s">
        <v>214</v>
      </c>
      <c r="G87" s="228"/>
      <c r="H87" s="79">
        <f t="shared" si="107"/>
        <v>104600638</v>
      </c>
      <c r="I87" s="79">
        <f t="shared" si="108"/>
        <v>506263797</v>
      </c>
      <c r="J87" s="78"/>
      <c r="K87" s="78"/>
      <c r="L87" s="78"/>
      <c r="M87" s="75">
        <f t="shared" si="109"/>
        <v>610864435</v>
      </c>
      <c r="N87" s="45"/>
      <c r="O87" s="45"/>
      <c r="P87" s="45"/>
      <c r="Q87" s="45"/>
      <c r="R87" s="45"/>
      <c r="S87" s="45"/>
      <c r="T87" s="75"/>
      <c r="U87" s="75"/>
      <c r="V87" s="75"/>
      <c r="W87" s="75"/>
      <c r="X87" s="75"/>
      <c r="Y87" s="75"/>
      <c r="Z87" s="75">
        <f>450000000+160864435</f>
        <v>610864435</v>
      </c>
      <c r="AA87" s="75"/>
      <c r="AB87" s="75"/>
      <c r="AC87" s="75"/>
      <c r="AD87" s="75"/>
      <c r="AE87" s="75"/>
      <c r="AF87" s="75"/>
      <c r="AG87" s="75"/>
      <c r="AH87" s="113"/>
      <c r="AI87" s="25">
        <f t="shared" si="110"/>
        <v>0.36199230685282896</v>
      </c>
      <c r="AJ87" s="75">
        <f t="shared" si="111"/>
        <v>221128226</v>
      </c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>
        <f>+'[1]AGOSTO 2015'!$V$2923</f>
        <v>221128226</v>
      </c>
      <c r="AX87" s="75"/>
      <c r="AY87" s="75"/>
      <c r="AZ87" s="75"/>
      <c r="BA87" s="75"/>
      <c r="BB87" s="75"/>
      <c r="BC87" s="75"/>
      <c r="BD87" s="75"/>
      <c r="BE87" s="25">
        <f t="shared" si="91"/>
        <v>0.63800769314717098</v>
      </c>
      <c r="BF87" s="75">
        <f t="shared" si="112"/>
        <v>389736209</v>
      </c>
      <c r="BG87" s="75">
        <f t="shared" si="113"/>
        <v>0</v>
      </c>
      <c r="BH87" s="75">
        <f t="shared" si="114"/>
        <v>0</v>
      </c>
      <c r="BI87" s="75"/>
      <c r="BJ87" s="75">
        <f t="shared" si="115"/>
        <v>0</v>
      </c>
      <c r="BK87" s="75"/>
      <c r="BL87" s="75">
        <f t="shared" si="116"/>
        <v>0</v>
      </c>
      <c r="BM87" s="75">
        <f t="shared" si="117"/>
        <v>0</v>
      </c>
      <c r="BN87" s="75"/>
      <c r="BO87" s="75">
        <f t="shared" si="145"/>
        <v>0</v>
      </c>
      <c r="BP87" s="75">
        <f t="shared" si="137"/>
        <v>0</v>
      </c>
      <c r="BQ87" s="75"/>
      <c r="BR87" s="75">
        <f t="shared" si="140"/>
        <v>0</v>
      </c>
      <c r="BS87" s="75">
        <f t="shared" si="141"/>
        <v>389736209</v>
      </c>
      <c r="BT87" s="75">
        <f t="shared" si="142"/>
        <v>0</v>
      </c>
      <c r="BU87" s="75">
        <f t="shared" si="146"/>
        <v>0</v>
      </c>
      <c r="BV87" s="75">
        <f t="shared" si="143"/>
        <v>0</v>
      </c>
      <c r="BW87" s="75">
        <f t="shared" si="144"/>
        <v>0</v>
      </c>
      <c r="BX87" s="75"/>
      <c r="BY87" s="75"/>
      <c r="BZ87" s="75">
        <f t="shared" si="119"/>
        <v>0</v>
      </c>
      <c r="CA87" s="25">
        <f t="shared" si="120"/>
        <v>0.17123379919801682</v>
      </c>
      <c r="CB87" s="75">
        <f t="shared" si="121"/>
        <v>104600638</v>
      </c>
      <c r="CC87" s="75"/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5">
        <f>+'[1]AGOSTO 2015'!$H$2921</f>
        <v>104600638</v>
      </c>
      <c r="CP87" s="75"/>
      <c r="CQ87" s="75"/>
      <c r="CR87" s="75"/>
      <c r="CS87" s="75"/>
      <c r="CT87" s="75"/>
      <c r="CU87" s="75"/>
      <c r="CV87" s="75"/>
      <c r="CW87" s="25">
        <f t="shared" si="122"/>
        <v>0.82876620080198315</v>
      </c>
      <c r="CX87" s="75">
        <f t="shared" si="123"/>
        <v>506263797</v>
      </c>
      <c r="CY87" s="75"/>
      <c r="CZ87" s="75"/>
      <c r="DA87" s="75"/>
      <c r="DB87" s="75">
        <f t="shared" si="124"/>
        <v>0</v>
      </c>
      <c r="DC87" s="75"/>
      <c r="DD87" s="75">
        <f t="shared" si="125"/>
        <v>0</v>
      </c>
      <c r="DE87" s="75">
        <f t="shared" si="126"/>
        <v>0</v>
      </c>
      <c r="DF87" s="75"/>
      <c r="DG87" s="75">
        <f t="shared" si="127"/>
        <v>0</v>
      </c>
      <c r="DH87" s="75">
        <f t="shared" si="128"/>
        <v>0</v>
      </c>
      <c r="DI87" s="75"/>
      <c r="DJ87" s="75">
        <f t="shared" si="129"/>
        <v>0</v>
      </c>
      <c r="DK87" s="75">
        <f t="shared" si="130"/>
        <v>506263797</v>
      </c>
      <c r="DL87" s="75">
        <f t="shared" si="131"/>
        <v>0</v>
      </c>
      <c r="DM87" s="75">
        <f t="shared" si="132"/>
        <v>0</v>
      </c>
      <c r="DN87" s="75">
        <f t="shared" si="133"/>
        <v>0</v>
      </c>
      <c r="DO87" s="75">
        <f t="shared" si="134"/>
        <v>0</v>
      </c>
      <c r="DP87" s="75">
        <f t="shared" si="135"/>
        <v>0</v>
      </c>
      <c r="DQ87" s="75"/>
      <c r="DR87" s="75">
        <f t="shared" si="136"/>
        <v>0</v>
      </c>
    </row>
    <row r="88" spans="1:122" ht="33" customHeight="1" x14ac:dyDescent="0.25">
      <c r="A88" s="242"/>
      <c r="B88" s="81"/>
      <c r="C88" s="82" t="s">
        <v>248</v>
      </c>
      <c r="D88" s="81" t="s">
        <v>247</v>
      </c>
      <c r="E88" s="97">
        <v>520</v>
      </c>
      <c r="F88" s="78" t="s">
        <v>214</v>
      </c>
      <c r="G88" s="229"/>
      <c r="H88" s="79">
        <f t="shared" si="107"/>
        <v>0</v>
      </c>
      <c r="I88" s="79">
        <f t="shared" si="108"/>
        <v>23014856</v>
      </c>
      <c r="J88" s="78"/>
      <c r="K88" s="78"/>
      <c r="L88" s="78"/>
      <c r="M88" s="75">
        <f t="shared" si="109"/>
        <v>23014856</v>
      </c>
      <c r="N88" s="45"/>
      <c r="O88" s="115">
        <f>23014856-23014856</f>
        <v>0</v>
      </c>
      <c r="P88" s="115"/>
      <c r="Q88" s="45"/>
      <c r="R88" s="45"/>
      <c r="S88" s="45"/>
      <c r="T88" s="75">
        <v>23014856</v>
      </c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113"/>
      <c r="AI88" s="25">
        <f t="shared" si="110"/>
        <v>1</v>
      </c>
      <c r="AJ88" s="75">
        <f t="shared" si="111"/>
        <v>23014856</v>
      </c>
      <c r="AK88" s="75"/>
      <c r="AL88" s="75"/>
      <c r="AM88" s="75"/>
      <c r="AN88" s="75"/>
      <c r="AO88" s="75"/>
      <c r="AP88" s="75"/>
      <c r="AQ88" s="75">
        <f>+'[5]FEBRERO 2015'!$O$1235</f>
        <v>23014856</v>
      </c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25">
        <f t="shared" ref="BE88:BE103" si="147">1-AI88</f>
        <v>0</v>
      </c>
      <c r="BF88" s="75">
        <f t="shared" si="112"/>
        <v>0</v>
      </c>
      <c r="BG88" s="75">
        <f t="shared" si="113"/>
        <v>0</v>
      </c>
      <c r="BH88" s="75">
        <f t="shared" si="114"/>
        <v>0</v>
      </c>
      <c r="BI88" s="75"/>
      <c r="BJ88" s="75">
        <f t="shared" si="115"/>
        <v>0</v>
      </c>
      <c r="BK88" s="75"/>
      <c r="BL88" s="75">
        <f t="shared" si="116"/>
        <v>0</v>
      </c>
      <c r="BM88" s="75">
        <f t="shared" si="117"/>
        <v>0</v>
      </c>
      <c r="BN88" s="75"/>
      <c r="BO88" s="75">
        <f t="shared" si="145"/>
        <v>0</v>
      </c>
      <c r="BP88" s="75">
        <f t="shared" si="137"/>
        <v>0</v>
      </c>
      <c r="BQ88" s="75"/>
      <c r="BR88" s="75">
        <f t="shared" si="140"/>
        <v>0</v>
      </c>
      <c r="BS88" s="75">
        <f t="shared" si="141"/>
        <v>0</v>
      </c>
      <c r="BT88" s="75">
        <f t="shared" si="142"/>
        <v>0</v>
      </c>
      <c r="BU88" s="75">
        <f t="shared" si="146"/>
        <v>0</v>
      </c>
      <c r="BV88" s="75">
        <f t="shared" si="143"/>
        <v>0</v>
      </c>
      <c r="BW88" s="75">
        <f t="shared" si="144"/>
        <v>0</v>
      </c>
      <c r="BX88" s="75"/>
      <c r="BY88" s="75"/>
      <c r="BZ88" s="75">
        <f t="shared" si="119"/>
        <v>0</v>
      </c>
      <c r="CA88" s="25">
        <f t="shared" si="120"/>
        <v>0</v>
      </c>
      <c r="CB88" s="75">
        <f t="shared" si="121"/>
        <v>0</v>
      </c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25">
        <f t="shared" si="122"/>
        <v>1</v>
      </c>
      <c r="CX88" s="75">
        <f t="shared" si="123"/>
        <v>23014856</v>
      </c>
      <c r="CY88" s="75"/>
      <c r="CZ88" s="75">
        <f>O88-CD88</f>
        <v>0</v>
      </c>
      <c r="DA88" s="75">
        <f>P88-CE88</f>
        <v>0</v>
      </c>
      <c r="DB88" s="75">
        <f t="shared" si="124"/>
        <v>0</v>
      </c>
      <c r="DC88" s="75"/>
      <c r="DD88" s="75">
        <f t="shared" si="125"/>
        <v>0</v>
      </c>
      <c r="DE88" s="75">
        <f t="shared" si="126"/>
        <v>23014856</v>
      </c>
      <c r="DF88" s="75"/>
      <c r="DG88" s="75">
        <f t="shared" si="127"/>
        <v>0</v>
      </c>
      <c r="DH88" s="75">
        <f t="shared" si="128"/>
        <v>0</v>
      </c>
      <c r="DI88" s="75"/>
      <c r="DJ88" s="75">
        <f t="shared" si="129"/>
        <v>0</v>
      </c>
      <c r="DK88" s="75">
        <f t="shared" si="130"/>
        <v>0</v>
      </c>
      <c r="DL88" s="75">
        <f t="shared" si="131"/>
        <v>0</v>
      </c>
      <c r="DM88" s="75">
        <f t="shared" si="132"/>
        <v>0</v>
      </c>
      <c r="DN88" s="75">
        <f t="shared" si="133"/>
        <v>0</v>
      </c>
      <c r="DO88" s="75">
        <f t="shared" si="134"/>
        <v>0</v>
      </c>
      <c r="DP88" s="75">
        <f t="shared" si="135"/>
        <v>0</v>
      </c>
      <c r="DQ88" s="75"/>
      <c r="DR88" s="75">
        <f t="shared" si="136"/>
        <v>0</v>
      </c>
    </row>
    <row r="89" spans="1:122" ht="36.75" customHeight="1" x14ac:dyDescent="0.25">
      <c r="A89" s="242"/>
      <c r="B89" s="81" t="s">
        <v>246</v>
      </c>
      <c r="C89" s="82" t="s">
        <v>245</v>
      </c>
      <c r="D89" s="81" t="s">
        <v>244</v>
      </c>
      <c r="E89" s="97">
        <v>520</v>
      </c>
      <c r="F89" s="78" t="s">
        <v>243</v>
      </c>
      <c r="G89" s="227">
        <v>150000000</v>
      </c>
      <c r="H89" s="79">
        <f t="shared" si="107"/>
        <v>0</v>
      </c>
      <c r="I89" s="79">
        <f t="shared" si="108"/>
        <v>40000000</v>
      </c>
      <c r="J89" s="78"/>
      <c r="K89" s="78"/>
      <c r="L89" s="78"/>
      <c r="M89" s="75">
        <f t="shared" si="109"/>
        <v>40000000</v>
      </c>
      <c r="N89" s="45"/>
      <c r="O89" s="45"/>
      <c r="P89" s="45"/>
      <c r="Q89" s="75">
        <f>10000000-10000000</f>
        <v>0</v>
      </c>
      <c r="R89" s="75"/>
      <c r="S89" s="75">
        <v>30000000</v>
      </c>
      <c r="T89" s="75"/>
      <c r="U89" s="75"/>
      <c r="V89" s="75"/>
      <c r="W89" s="75"/>
      <c r="X89" s="75"/>
      <c r="Y89" s="75"/>
      <c r="Z89" s="75"/>
      <c r="AA89" s="75"/>
      <c r="AB89" s="75">
        <v>10000000</v>
      </c>
      <c r="AC89" s="75"/>
      <c r="AD89" s="75"/>
      <c r="AE89" s="75"/>
      <c r="AF89" s="75"/>
      <c r="AG89" s="75"/>
      <c r="AH89" s="113"/>
      <c r="AI89" s="25">
        <f t="shared" si="110"/>
        <v>1</v>
      </c>
      <c r="AJ89" s="75">
        <f t="shared" si="111"/>
        <v>40000000</v>
      </c>
      <c r="AK89" s="75"/>
      <c r="AL89" s="75"/>
      <c r="AM89" s="75"/>
      <c r="AN89" s="75"/>
      <c r="AO89" s="75"/>
      <c r="AP89" s="75">
        <f>+'[8]FEBRERO 2015'!$N$1172</f>
        <v>30000000</v>
      </c>
      <c r="AQ89" s="75"/>
      <c r="AR89" s="75"/>
      <c r="AS89" s="75"/>
      <c r="AT89" s="75"/>
      <c r="AU89" s="75"/>
      <c r="AV89" s="75"/>
      <c r="AW89" s="75"/>
      <c r="AX89" s="75"/>
      <c r="AY89" s="75">
        <f>+'[5]FEBRERO 2015'!$W$1245</f>
        <v>10000000</v>
      </c>
      <c r="AZ89" s="75"/>
      <c r="BA89" s="75"/>
      <c r="BB89" s="75"/>
      <c r="BC89" s="75"/>
      <c r="BD89" s="75"/>
      <c r="BE89" s="25">
        <f t="shared" si="147"/>
        <v>0</v>
      </c>
      <c r="BF89" s="75">
        <f t="shared" si="112"/>
        <v>0</v>
      </c>
      <c r="BG89" s="75">
        <f t="shared" si="113"/>
        <v>0</v>
      </c>
      <c r="BH89" s="75">
        <f t="shared" si="114"/>
        <v>0</v>
      </c>
      <c r="BI89" s="75"/>
      <c r="BJ89" s="75">
        <f t="shared" si="115"/>
        <v>0</v>
      </c>
      <c r="BK89" s="75"/>
      <c r="BL89" s="75">
        <f t="shared" si="116"/>
        <v>0</v>
      </c>
      <c r="BM89" s="75">
        <f t="shared" si="117"/>
        <v>0</v>
      </c>
      <c r="BN89" s="75"/>
      <c r="BO89" s="75">
        <f t="shared" si="145"/>
        <v>0</v>
      </c>
      <c r="BP89" s="75">
        <f t="shared" si="137"/>
        <v>0</v>
      </c>
      <c r="BQ89" s="75"/>
      <c r="BR89" s="75">
        <f t="shared" si="140"/>
        <v>0</v>
      </c>
      <c r="BS89" s="75">
        <f t="shared" si="141"/>
        <v>0</v>
      </c>
      <c r="BT89" s="75">
        <f t="shared" si="142"/>
        <v>0</v>
      </c>
      <c r="BU89" s="75">
        <f t="shared" si="146"/>
        <v>0</v>
      </c>
      <c r="BV89" s="75">
        <f t="shared" si="143"/>
        <v>0</v>
      </c>
      <c r="BW89" s="75">
        <f t="shared" si="144"/>
        <v>0</v>
      </c>
      <c r="BX89" s="75"/>
      <c r="BY89" s="75"/>
      <c r="BZ89" s="75">
        <f t="shared" si="119"/>
        <v>0</v>
      </c>
      <c r="CA89" s="25">
        <f t="shared" si="120"/>
        <v>0</v>
      </c>
      <c r="CB89" s="75">
        <f t="shared" si="121"/>
        <v>0</v>
      </c>
      <c r="CC89" s="75"/>
      <c r="CD89" s="75"/>
      <c r="CE89" s="75"/>
      <c r="CF89" s="75"/>
      <c r="CG89" s="75"/>
      <c r="CH89" s="75"/>
      <c r="CI89" s="75"/>
      <c r="CJ89" s="75"/>
      <c r="CK89" s="75"/>
      <c r="CL89" s="75"/>
      <c r="CM89" s="75"/>
      <c r="CN89" s="75"/>
      <c r="CO89" s="75"/>
      <c r="CP89" s="75"/>
      <c r="CQ89" s="75"/>
      <c r="CR89" s="75"/>
      <c r="CS89" s="75"/>
      <c r="CT89" s="75"/>
      <c r="CU89" s="75"/>
      <c r="CV89" s="75"/>
      <c r="CW89" s="25">
        <f t="shared" si="122"/>
        <v>1</v>
      </c>
      <c r="CX89" s="75">
        <f t="shared" si="123"/>
        <v>40000000</v>
      </c>
      <c r="CY89" s="75"/>
      <c r="CZ89" s="75"/>
      <c r="DA89" s="75"/>
      <c r="DB89" s="75">
        <f t="shared" si="124"/>
        <v>0</v>
      </c>
      <c r="DC89" s="75"/>
      <c r="DD89" s="75">
        <f t="shared" si="125"/>
        <v>30000000</v>
      </c>
      <c r="DE89" s="75">
        <f t="shared" si="126"/>
        <v>0</v>
      </c>
      <c r="DF89" s="75"/>
      <c r="DG89" s="75">
        <f t="shared" si="127"/>
        <v>0</v>
      </c>
      <c r="DH89" s="75">
        <f t="shared" si="128"/>
        <v>0</v>
      </c>
      <c r="DI89" s="75"/>
      <c r="DJ89" s="75">
        <f t="shared" si="129"/>
        <v>0</v>
      </c>
      <c r="DK89" s="75">
        <f t="shared" si="130"/>
        <v>0</v>
      </c>
      <c r="DL89" s="75">
        <f t="shared" si="131"/>
        <v>0</v>
      </c>
      <c r="DM89" s="75">
        <f t="shared" si="132"/>
        <v>10000000</v>
      </c>
      <c r="DN89" s="75">
        <f t="shared" si="133"/>
        <v>0</v>
      </c>
      <c r="DO89" s="75">
        <f t="shared" si="134"/>
        <v>0</v>
      </c>
      <c r="DP89" s="75">
        <f t="shared" si="135"/>
        <v>0</v>
      </c>
      <c r="DQ89" s="75"/>
      <c r="DR89" s="75">
        <f t="shared" si="136"/>
        <v>0</v>
      </c>
    </row>
    <row r="90" spans="1:122" ht="24" customHeight="1" x14ac:dyDescent="0.25">
      <c r="A90" s="242"/>
      <c r="B90" s="114"/>
      <c r="C90" s="82" t="s">
        <v>242</v>
      </c>
      <c r="D90" s="81" t="s">
        <v>241</v>
      </c>
      <c r="E90" s="97">
        <v>520</v>
      </c>
      <c r="F90" s="78" t="s">
        <v>214</v>
      </c>
      <c r="G90" s="228"/>
      <c r="H90" s="79">
        <f t="shared" si="107"/>
        <v>48739200</v>
      </c>
      <c r="I90" s="79">
        <f t="shared" si="108"/>
        <v>1260800</v>
      </c>
      <c r="J90" s="78"/>
      <c r="K90" s="78"/>
      <c r="L90" s="78"/>
      <c r="M90" s="75">
        <f t="shared" si="109"/>
        <v>50000000</v>
      </c>
      <c r="N90" s="45"/>
      <c r="O90" s="45"/>
      <c r="P90" s="45"/>
      <c r="Q90" s="75">
        <v>40000000</v>
      </c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>
        <v>10000000</v>
      </c>
      <c r="AC90" s="75"/>
      <c r="AD90" s="75"/>
      <c r="AE90" s="75"/>
      <c r="AF90" s="75"/>
      <c r="AG90" s="75"/>
      <c r="AH90" s="113"/>
      <c r="AI90" s="25">
        <f t="shared" si="110"/>
        <v>1</v>
      </c>
      <c r="AJ90" s="75">
        <f t="shared" si="111"/>
        <v>50000000</v>
      </c>
      <c r="AK90" s="75"/>
      <c r="AL90" s="75"/>
      <c r="AM90" s="75"/>
      <c r="AN90" s="75">
        <f>+'[3]ABRIL 2015'!$L$1730</f>
        <v>40000000</v>
      </c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>
        <f>+'[6]JUNIO 2015'!$X$2249</f>
        <v>10000000</v>
      </c>
      <c r="AZ90" s="75"/>
      <c r="BA90" s="75"/>
      <c r="BB90" s="75"/>
      <c r="BC90" s="75"/>
      <c r="BD90" s="75"/>
      <c r="BE90" s="25">
        <f t="shared" si="147"/>
        <v>0</v>
      </c>
      <c r="BF90" s="75">
        <f t="shared" si="112"/>
        <v>0</v>
      </c>
      <c r="BG90" s="75">
        <f t="shared" si="113"/>
        <v>0</v>
      </c>
      <c r="BH90" s="75">
        <f t="shared" si="114"/>
        <v>0</v>
      </c>
      <c r="BI90" s="75"/>
      <c r="BJ90" s="75">
        <f t="shared" si="115"/>
        <v>0</v>
      </c>
      <c r="BK90" s="75"/>
      <c r="BL90" s="75">
        <f t="shared" si="116"/>
        <v>0</v>
      </c>
      <c r="BM90" s="75">
        <f t="shared" si="117"/>
        <v>0</v>
      </c>
      <c r="BN90" s="75"/>
      <c r="BO90" s="75">
        <f t="shared" si="145"/>
        <v>0</v>
      </c>
      <c r="BP90" s="75">
        <f t="shared" si="137"/>
        <v>0</v>
      </c>
      <c r="BQ90" s="75"/>
      <c r="BR90" s="75">
        <f t="shared" si="140"/>
        <v>0</v>
      </c>
      <c r="BS90" s="75">
        <f t="shared" si="141"/>
        <v>0</v>
      </c>
      <c r="BT90" s="75">
        <f t="shared" si="142"/>
        <v>0</v>
      </c>
      <c r="BU90" s="75">
        <f t="shared" si="146"/>
        <v>0</v>
      </c>
      <c r="BV90" s="75">
        <f t="shared" si="143"/>
        <v>0</v>
      </c>
      <c r="BW90" s="75">
        <f t="shared" si="144"/>
        <v>0</v>
      </c>
      <c r="BX90" s="75"/>
      <c r="BY90" s="75"/>
      <c r="BZ90" s="75">
        <f t="shared" si="119"/>
        <v>0</v>
      </c>
      <c r="CA90" s="25">
        <f t="shared" si="120"/>
        <v>0.97478399999999998</v>
      </c>
      <c r="CB90" s="75">
        <f t="shared" si="121"/>
        <v>48739200</v>
      </c>
      <c r="CC90" s="75"/>
      <c r="CD90" s="75"/>
      <c r="CE90" s="75"/>
      <c r="CF90" s="75">
        <f>+'[6]JUNIO 2015'!$H$2252</f>
        <v>40000000</v>
      </c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>
        <f>+'[2]JULIO 2015'!$H$2631</f>
        <v>8739200</v>
      </c>
      <c r="CR90" s="75"/>
      <c r="CS90" s="75"/>
      <c r="CT90" s="75"/>
      <c r="CU90" s="75"/>
      <c r="CV90" s="75"/>
      <c r="CW90" s="25">
        <f t="shared" si="122"/>
        <v>2.5216000000000016E-2</v>
      </c>
      <c r="CX90" s="75">
        <f t="shared" si="123"/>
        <v>1260800</v>
      </c>
      <c r="CY90" s="75"/>
      <c r="CZ90" s="75"/>
      <c r="DA90" s="75"/>
      <c r="DB90" s="75">
        <f t="shared" si="124"/>
        <v>0</v>
      </c>
      <c r="DC90" s="75"/>
      <c r="DD90" s="75">
        <f t="shared" si="125"/>
        <v>0</v>
      </c>
      <c r="DE90" s="75">
        <f t="shared" si="126"/>
        <v>0</v>
      </c>
      <c r="DF90" s="75"/>
      <c r="DG90" s="75">
        <f t="shared" si="127"/>
        <v>0</v>
      </c>
      <c r="DH90" s="75">
        <f t="shared" si="128"/>
        <v>0</v>
      </c>
      <c r="DI90" s="75"/>
      <c r="DJ90" s="75">
        <f t="shared" si="129"/>
        <v>0</v>
      </c>
      <c r="DK90" s="75">
        <f t="shared" si="130"/>
        <v>0</v>
      </c>
      <c r="DL90" s="75">
        <f t="shared" si="131"/>
        <v>0</v>
      </c>
      <c r="DM90" s="75">
        <f t="shared" si="132"/>
        <v>1260800</v>
      </c>
      <c r="DN90" s="75">
        <f t="shared" si="133"/>
        <v>0</v>
      </c>
      <c r="DO90" s="75">
        <f t="shared" si="134"/>
        <v>0</v>
      </c>
      <c r="DP90" s="75">
        <f t="shared" si="135"/>
        <v>0</v>
      </c>
      <c r="DQ90" s="75"/>
      <c r="DR90" s="75">
        <f t="shared" si="136"/>
        <v>0</v>
      </c>
    </row>
    <row r="91" spans="1:122" ht="31.5" customHeight="1" x14ac:dyDescent="0.25">
      <c r="A91" s="242"/>
      <c r="B91" s="114"/>
      <c r="C91" s="82" t="s">
        <v>240</v>
      </c>
      <c r="D91" s="81" t="s">
        <v>239</v>
      </c>
      <c r="E91" s="97">
        <v>520</v>
      </c>
      <c r="F91" s="78" t="s">
        <v>214</v>
      </c>
      <c r="G91" s="228"/>
      <c r="H91" s="79">
        <f t="shared" si="107"/>
        <v>20000000</v>
      </c>
      <c r="I91" s="79">
        <f t="shared" si="108"/>
        <v>0</v>
      </c>
      <c r="J91" s="78"/>
      <c r="K91" s="78"/>
      <c r="L91" s="78"/>
      <c r="M91" s="75">
        <f t="shared" si="109"/>
        <v>20000000</v>
      </c>
      <c r="N91" s="45"/>
      <c r="O91" s="45"/>
      <c r="P91" s="45"/>
      <c r="Q91" s="75"/>
      <c r="R91" s="75"/>
      <c r="S91" s="75"/>
      <c r="T91" s="75">
        <f>30000000-10000000</f>
        <v>20000000</v>
      </c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113"/>
      <c r="AI91" s="25">
        <f t="shared" si="110"/>
        <v>1</v>
      </c>
      <c r="AJ91" s="75">
        <f t="shared" si="111"/>
        <v>20000000</v>
      </c>
      <c r="AK91" s="75"/>
      <c r="AL91" s="75"/>
      <c r="AM91" s="75"/>
      <c r="AN91" s="75"/>
      <c r="AO91" s="75"/>
      <c r="AP91" s="75"/>
      <c r="AQ91" s="75">
        <f>+'[4]MARZO 2015'!$O$1462</f>
        <v>20000000</v>
      </c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25">
        <f t="shared" si="147"/>
        <v>0</v>
      </c>
      <c r="BF91" s="75">
        <f t="shared" si="112"/>
        <v>0</v>
      </c>
      <c r="BG91" s="75">
        <f t="shared" si="113"/>
        <v>0</v>
      </c>
      <c r="BH91" s="75">
        <f t="shared" si="114"/>
        <v>0</v>
      </c>
      <c r="BI91" s="75"/>
      <c r="BJ91" s="75">
        <f t="shared" si="115"/>
        <v>0</v>
      </c>
      <c r="BK91" s="75"/>
      <c r="BL91" s="75">
        <f t="shared" si="116"/>
        <v>0</v>
      </c>
      <c r="BM91" s="75">
        <f t="shared" si="117"/>
        <v>0</v>
      </c>
      <c r="BN91" s="75"/>
      <c r="BO91" s="75">
        <f t="shared" si="145"/>
        <v>0</v>
      </c>
      <c r="BP91" s="75">
        <f t="shared" si="137"/>
        <v>0</v>
      </c>
      <c r="BQ91" s="75"/>
      <c r="BR91" s="75">
        <f t="shared" si="140"/>
        <v>0</v>
      </c>
      <c r="BS91" s="75">
        <f t="shared" si="141"/>
        <v>0</v>
      </c>
      <c r="BT91" s="75">
        <f t="shared" si="142"/>
        <v>0</v>
      </c>
      <c r="BU91" s="75">
        <f t="shared" si="146"/>
        <v>0</v>
      </c>
      <c r="BV91" s="75">
        <f t="shared" si="143"/>
        <v>0</v>
      </c>
      <c r="BW91" s="75">
        <f t="shared" si="144"/>
        <v>0</v>
      </c>
      <c r="BX91" s="75"/>
      <c r="BY91" s="75"/>
      <c r="BZ91" s="75">
        <f t="shared" si="119"/>
        <v>0</v>
      </c>
      <c r="CA91" s="25">
        <f t="shared" si="120"/>
        <v>1</v>
      </c>
      <c r="CB91" s="75">
        <f t="shared" si="121"/>
        <v>20000000</v>
      </c>
      <c r="CC91" s="75"/>
      <c r="CD91" s="75"/>
      <c r="CE91" s="75"/>
      <c r="CF91" s="75"/>
      <c r="CG91" s="75"/>
      <c r="CH91" s="75"/>
      <c r="CI91" s="75">
        <f>+'[4]MARZO 2015'!$O$1463</f>
        <v>20000000</v>
      </c>
      <c r="CJ91" s="75"/>
      <c r="CK91" s="75"/>
      <c r="CL91" s="75"/>
      <c r="CM91" s="75"/>
      <c r="CN91" s="75"/>
      <c r="CO91" s="75"/>
      <c r="CP91" s="75"/>
      <c r="CQ91" s="75"/>
      <c r="CR91" s="75"/>
      <c r="CS91" s="75"/>
      <c r="CT91" s="75"/>
      <c r="CU91" s="75"/>
      <c r="CV91" s="75"/>
      <c r="CW91" s="25">
        <f t="shared" si="122"/>
        <v>0</v>
      </c>
      <c r="CX91" s="75">
        <f t="shared" si="123"/>
        <v>0</v>
      </c>
      <c r="CY91" s="75"/>
      <c r="CZ91" s="75"/>
      <c r="DA91" s="75"/>
      <c r="DB91" s="75">
        <f t="shared" si="124"/>
        <v>0</v>
      </c>
      <c r="DC91" s="75"/>
      <c r="DD91" s="75">
        <f t="shared" si="125"/>
        <v>0</v>
      </c>
      <c r="DE91" s="75">
        <f t="shared" si="126"/>
        <v>0</v>
      </c>
      <c r="DF91" s="75"/>
      <c r="DG91" s="75">
        <f t="shared" si="127"/>
        <v>0</v>
      </c>
      <c r="DH91" s="75">
        <f t="shared" si="128"/>
        <v>0</v>
      </c>
      <c r="DI91" s="75"/>
      <c r="DJ91" s="75">
        <f t="shared" si="129"/>
        <v>0</v>
      </c>
      <c r="DK91" s="75">
        <f t="shared" si="130"/>
        <v>0</v>
      </c>
      <c r="DL91" s="75">
        <f t="shared" si="131"/>
        <v>0</v>
      </c>
      <c r="DM91" s="75">
        <f t="shared" si="132"/>
        <v>0</v>
      </c>
      <c r="DN91" s="75">
        <f t="shared" si="133"/>
        <v>0</v>
      </c>
      <c r="DO91" s="75">
        <f t="shared" si="134"/>
        <v>0</v>
      </c>
      <c r="DP91" s="75">
        <f t="shared" si="135"/>
        <v>0</v>
      </c>
      <c r="DQ91" s="75"/>
      <c r="DR91" s="75">
        <f t="shared" si="136"/>
        <v>0</v>
      </c>
    </row>
    <row r="92" spans="1:122" ht="30.75" customHeight="1" x14ac:dyDescent="0.25">
      <c r="A92" s="242"/>
      <c r="B92" s="114"/>
      <c r="C92" s="82" t="s">
        <v>238</v>
      </c>
      <c r="D92" s="81" t="s">
        <v>237</v>
      </c>
      <c r="E92" s="97">
        <v>520</v>
      </c>
      <c r="F92" s="78" t="s">
        <v>214</v>
      </c>
      <c r="G92" s="229"/>
      <c r="H92" s="79">
        <f t="shared" si="107"/>
        <v>11809333</v>
      </c>
      <c r="I92" s="79">
        <f t="shared" si="108"/>
        <v>28190667</v>
      </c>
      <c r="J92" s="78"/>
      <c r="K92" s="78"/>
      <c r="L92" s="78"/>
      <c r="M92" s="75">
        <f t="shared" si="109"/>
        <v>40000000</v>
      </c>
      <c r="N92" s="45"/>
      <c r="O92" s="45"/>
      <c r="P92" s="45"/>
      <c r="Q92" s="75">
        <v>10000000</v>
      </c>
      <c r="R92" s="75"/>
      <c r="S92" s="75">
        <v>30000000</v>
      </c>
      <c r="T92" s="75">
        <f>10000000-10000000</f>
        <v>0</v>
      </c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113"/>
      <c r="AI92" s="25">
        <f t="shared" si="110"/>
        <v>1</v>
      </c>
      <c r="AJ92" s="75">
        <f t="shared" si="111"/>
        <v>40000000</v>
      </c>
      <c r="AK92" s="75"/>
      <c r="AL92" s="75"/>
      <c r="AM92" s="75"/>
      <c r="AN92" s="75">
        <f>+'[3]ABRIL 2015'!$L$1744</f>
        <v>10000000</v>
      </c>
      <c r="AO92" s="75"/>
      <c r="AP92" s="75">
        <f>+'[8]FEBRERO 2015'!$N$1187</f>
        <v>30000000</v>
      </c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25">
        <f t="shared" si="147"/>
        <v>0</v>
      </c>
      <c r="BF92" s="75">
        <f t="shared" si="112"/>
        <v>0</v>
      </c>
      <c r="BG92" s="75">
        <f t="shared" si="113"/>
        <v>0</v>
      </c>
      <c r="BH92" s="75">
        <f t="shared" si="114"/>
        <v>0</v>
      </c>
      <c r="BI92" s="75"/>
      <c r="BJ92" s="75">
        <f t="shared" si="115"/>
        <v>0</v>
      </c>
      <c r="BK92" s="75"/>
      <c r="BL92" s="75">
        <f t="shared" si="116"/>
        <v>0</v>
      </c>
      <c r="BM92" s="75">
        <f t="shared" si="117"/>
        <v>0</v>
      </c>
      <c r="BN92" s="75"/>
      <c r="BO92" s="75">
        <f t="shared" si="145"/>
        <v>0</v>
      </c>
      <c r="BP92" s="75">
        <f t="shared" si="137"/>
        <v>0</v>
      </c>
      <c r="BQ92" s="75"/>
      <c r="BR92" s="75">
        <f t="shared" si="140"/>
        <v>0</v>
      </c>
      <c r="BS92" s="75">
        <f t="shared" si="141"/>
        <v>0</v>
      </c>
      <c r="BT92" s="75">
        <f t="shared" si="142"/>
        <v>0</v>
      </c>
      <c r="BU92" s="75">
        <f t="shared" si="146"/>
        <v>0</v>
      </c>
      <c r="BV92" s="75">
        <f t="shared" si="143"/>
        <v>0</v>
      </c>
      <c r="BW92" s="75">
        <f t="shared" si="144"/>
        <v>0</v>
      </c>
      <c r="BX92" s="75"/>
      <c r="BY92" s="75"/>
      <c r="BZ92" s="75">
        <f t="shared" si="119"/>
        <v>0</v>
      </c>
      <c r="CA92" s="25">
        <f t="shared" si="120"/>
        <v>0.29523332499999999</v>
      </c>
      <c r="CB92" s="75">
        <f t="shared" si="121"/>
        <v>11809333</v>
      </c>
      <c r="CC92" s="75"/>
      <c r="CD92" s="75"/>
      <c r="CE92" s="75"/>
      <c r="CF92" s="75"/>
      <c r="CG92" s="75"/>
      <c r="CH92" s="75">
        <f>+'[1]AGOSTO 2015'!$H$2986</f>
        <v>11809333</v>
      </c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25">
        <f t="shared" si="122"/>
        <v>0.70476667500000001</v>
      </c>
      <c r="CX92" s="75">
        <f t="shared" si="123"/>
        <v>28190667</v>
      </c>
      <c r="CY92" s="75"/>
      <c r="CZ92" s="75"/>
      <c r="DA92" s="75"/>
      <c r="DB92" s="75">
        <f t="shared" si="124"/>
        <v>10000000</v>
      </c>
      <c r="DC92" s="75"/>
      <c r="DD92" s="75">
        <f t="shared" si="125"/>
        <v>18190667</v>
      </c>
      <c r="DE92" s="75">
        <f t="shared" si="126"/>
        <v>0</v>
      </c>
      <c r="DF92" s="75"/>
      <c r="DG92" s="75">
        <f t="shared" si="127"/>
        <v>0</v>
      </c>
      <c r="DH92" s="75">
        <f t="shared" si="128"/>
        <v>0</v>
      </c>
      <c r="DI92" s="75"/>
      <c r="DJ92" s="75">
        <f t="shared" si="129"/>
        <v>0</v>
      </c>
      <c r="DK92" s="75">
        <f t="shared" si="130"/>
        <v>0</v>
      </c>
      <c r="DL92" s="75">
        <f t="shared" si="131"/>
        <v>0</v>
      </c>
      <c r="DM92" s="75">
        <f t="shared" si="132"/>
        <v>0</v>
      </c>
      <c r="DN92" s="75">
        <f t="shared" si="133"/>
        <v>0</v>
      </c>
      <c r="DO92" s="75">
        <f t="shared" si="134"/>
        <v>0</v>
      </c>
      <c r="DP92" s="75">
        <f t="shared" si="135"/>
        <v>0</v>
      </c>
      <c r="DQ92" s="75"/>
      <c r="DR92" s="75">
        <f t="shared" si="136"/>
        <v>0</v>
      </c>
    </row>
    <row r="93" spans="1:122" ht="28.5" customHeight="1" x14ac:dyDescent="0.25">
      <c r="A93" s="242"/>
      <c r="B93" s="81" t="s">
        <v>236</v>
      </c>
      <c r="C93" s="82" t="s">
        <v>235</v>
      </c>
      <c r="D93" s="81" t="s">
        <v>234</v>
      </c>
      <c r="E93" s="97">
        <v>520</v>
      </c>
      <c r="F93" s="78" t="s">
        <v>214</v>
      </c>
      <c r="G93" s="227">
        <v>20000000</v>
      </c>
      <c r="H93" s="79">
        <f t="shared" si="107"/>
        <v>7792400</v>
      </c>
      <c r="I93" s="79">
        <f t="shared" si="108"/>
        <v>2207600</v>
      </c>
      <c r="J93" s="78"/>
      <c r="K93" s="78"/>
      <c r="L93" s="78"/>
      <c r="M93" s="75">
        <f t="shared" si="109"/>
        <v>10000000</v>
      </c>
      <c r="N93" s="45"/>
      <c r="O93" s="45"/>
      <c r="P93" s="45"/>
      <c r="Q93" s="75"/>
      <c r="R93" s="75"/>
      <c r="S93" s="75">
        <v>10000000</v>
      </c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113"/>
      <c r="AI93" s="25">
        <f t="shared" si="110"/>
        <v>1</v>
      </c>
      <c r="AJ93" s="75">
        <f t="shared" si="111"/>
        <v>10000000</v>
      </c>
      <c r="AK93" s="75"/>
      <c r="AL93" s="75"/>
      <c r="AM93" s="75"/>
      <c r="AN93" s="75"/>
      <c r="AO93" s="75"/>
      <c r="AP93" s="75">
        <f>+'[8]FEBRERO 2015'!$G$1192</f>
        <v>10000000</v>
      </c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25">
        <f t="shared" si="147"/>
        <v>0</v>
      </c>
      <c r="BF93" s="75">
        <f t="shared" si="112"/>
        <v>0</v>
      </c>
      <c r="BG93" s="75">
        <f t="shared" si="113"/>
        <v>0</v>
      </c>
      <c r="BH93" s="75">
        <f t="shared" si="114"/>
        <v>0</v>
      </c>
      <c r="BI93" s="75"/>
      <c r="BJ93" s="75">
        <f t="shared" si="115"/>
        <v>0</v>
      </c>
      <c r="BK93" s="75"/>
      <c r="BL93" s="75">
        <f t="shared" si="116"/>
        <v>0</v>
      </c>
      <c r="BM93" s="75">
        <f t="shared" si="117"/>
        <v>0</v>
      </c>
      <c r="BN93" s="75"/>
      <c r="BO93" s="75">
        <f t="shared" si="145"/>
        <v>0</v>
      </c>
      <c r="BP93" s="75">
        <f t="shared" si="137"/>
        <v>0</v>
      </c>
      <c r="BQ93" s="75"/>
      <c r="BR93" s="75">
        <f t="shared" si="140"/>
        <v>0</v>
      </c>
      <c r="BS93" s="75">
        <f t="shared" si="141"/>
        <v>0</v>
      </c>
      <c r="BT93" s="75">
        <f t="shared" si="142"/>
        <v>0</v>
      </c>
      <c r="BU93" s="75">
        <f t="shared" si="146"/>
        <v>0</v>
      </c>
      <c r="BV93" s="75">
        <f t="shared" si="143"/>
        <v>0</v>
      </c>
      <c r="BW93" s="75">
        <f t="shared" si="144"/>
        <v>0</v>
      </c>
      <c r="BX93" s="75"/>
      <c r="BY93" s="75"/>
      <c r="BZ93" s="75">
        <f t="shared" si="119"/>
        <v>0</v>
      </c>
      <c r="CA93" s="25">
        <f t="shared" si="120"/>
        <v>0.77924000000000004</v>
      </c>
      <c r="CB93" s="75">
        <f t="shared" si="121"/>
        <v>7792400</v>
      </c>
      <c r="CC93" s="75"/>
      <c r="CD93" s="75"/>
      <c r="CE93" s="75"/>
      <c r="CF93" s="75"/>
      <c r="CG93" s="75"/>
      <c r="CH93" s="75">
        <f>+'[2]JULIO 2015'!$H$2656</f>
        <v>7792400</v>
      </c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25">
        <f t="shared" si="122"/>
        <v>0.22075999999999996</v>
      </c>
      <c r="CX93" s="75">
        <f t="shared" si="123"/>
        <v>2207600</v>
      </c>
      <c r="CY93" s="75"/>
      <c r="CZ93" s="75"/>
      <c r="DA93" s="75"/>
      <c r="DB93" s="75">
        <f t="shared" si="124"/>
        <v>0</v>
      </c>
      <c r="DC93" s="75"/>
      <c r="DD93" s="75">
        <f t="shared" si="125"/>
        <v>2207600</v>
      </c>
      <c r="DE93" s="75">
        <f t="shared" si="126"/>
        <v>0</v>
      </c>
      <c r="DF93" s="75"/>
      <c r="DG93" s="75">
        <f t="shared" si="127"/>
        <v>0</v>
      </c>
      <c r="DH93" s="75">
        <f t="shared" si="128"/>
        <v>0</v>
      </c>
      <c r="DI93" s="75"/>
      <c r="DJ93" s="75">
        <f t="shared" si="129"/>
        <v>0</v>
      </c>
      <c r="DK93" s="75">
        <f t="shared" si="130"/>
        <v>0</v>
      </c>
      <c r="DL93" s="75">
        <f t="shared" si="131"/>
        <v>0</v>
      </c>
      <c r="DM93" s="75">
        <f t="shared" si="132"/>
        <v>0</v>
      </c>
      <c r="DN93" s="75">
        <f t="shared" si="133"/>
        <v>0</v>
      </c>
      <c r="DO93" s="75">
        <f t="shared" si="134"/>
        <v>0</v>
      </c>
      <c r="DP93" s="75">
        <f t="shared" si="135"/>
        <v>0</v>
      </c>
      <c r="DQ93" s="75"/>
      <c r="DR93" s="75">
        <f t="shared" si="136"/>
        <v>0</v>
      </c>
    </row>
    <row r="94" spans="1:122" ht="25.5" customHeight="1" x14ac:dyDescent="0.25">
      <c r="A94" s="242"/>
      <c r="B94" s="81"/>
      <c r="C94" s="82" t="s">
        <v>233</v>
      </c>
      <c r="D94" s="81" t="s">
        <v>232</v>
      </c>
      <c r="E94" s="97">
        <v>520</v>
      </c>
      <c r="F94" s="78" t="s">
        <v>214</v>
      </c>
      <c r="G94" s="229"/>
      <c r="H94" s="79">
        <f t="shared" si="107"/>
        <v>0</v>
      </c>
      <c r="I94" s="79">
        <f t="shared" si="108"/>
        <v>10000000</v>
      </c>
      <c r="J94" s="78"/>
      <c r="K94" s="78"/>
      <c r="L94" s="78"/>
      <c r="M94" s="75">
        <f t="shared" si="109"/>
        <v>10000000</v>
      </c>
      <c r="N94" s="45"/>
      <c r="O94" s="45"/>
      <c r="P94" s="45"/>
      <c r="Q94" s="45"/>
      <c r="R94" s="45"/>
      <c r="S94" s="75">
        <v>10000000</v>
      </c>
      <c r="T94" s="45"/>
      <c r="U94" s="45"/>
      <c r="V94" s="45"/>
      <c r="W94" s="45"/>
      <c r="X94" s="45"/>
      <c r="Y94" s="24"/>
      <c r="Z94" s="45"/>
      <c r="AA94" s="45"/>
      <c r="AB94" s="45"/>
      <c r="AC94" s="45"/>
      <c r="AD94" s="45"/>
      <c r="AE94" s="45"/>
      <c r="AF94" s="45"/>
      <c r="AG94" s="116"/>
      <c r="AH94" s="113"/>
      <c r="AI94" s="25">
        <f t="shared" si="110"/>
        <v>1</v>
      </c>
      <c r="AJ94" s="75">
        <f t="shared" si="111"/>
        <v>10000000</v>
      </c>
      <c r="AK94" s="75"/>
      <c r="AL94" s="75"/>
      <c r="AM94" s="75"/>
      <c r="AN94" s="75"/>
      <c r="AO94" s="75"/>
      <c r="AP94" s="75">
        <f>+'[8]FEBRERO 2015'!$N$1199</f>
        <v>10000000</v>
      </c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25">
        <f t="shared" si="147"/>
        <v>0</v>
      </c>
      <c r="BF94" s="75">
        <f t="shared" si="112"/>
        <v>0</v>
      </c>
      <c r="BG94" s="75">
        <f t="shared" si="113"/>
        <v>0</v>
      </c>
      <c r="BH94" s="75">
        <f t="shared" si="114"/>
        <v>0</v>
      </c>
      <c r="BI94" s="75"/>
      <c r="BJ94" s="75">
        <f t="shared" si="115"/>
        <v>0</v>
      </c>
      <c r="BK94" s="75"/>
      <c r="BL94" s="75">
        <f t="shared" si="116"/>
        <v>0</v>
      </c>
      <c r="BM94" s="75">
        <f t="shared" si="117"/>
        <v>0</v>
      </c>
      <c r="BN94" s="75"/>
      <c r="BO94" s="75">
        <f t="shared" si="145"/>
        <v>0</v>
      </c>
      <c r="BP94" s="75">
        <f t="shared" si="137"/>
        <v>0</v>
      </c>
      <c r="BQ94" s="75"/>
      <c r="BR94" s="75">
        <f t="shared" si="140"/>
        <v>0</v>
      </c>
      <c r="BS94" s="75">
        <f t="shared" si="141"/>
        <v>0</v>
      </c>
      <c r="BT94" s="75">
        <f t="shared" si="142"/>
        <v>0</v>
      </c>
      <c r="BU94" s="75">
        <f t="shared" si="146"/>
        <v>0</v>
      </c>
      <c r="BV94" s="75">
        <f t="shared" si="143"/>
        <v>0</v>
      </c>
      <c r="BW94" s="75">
        <f t="shared" si="144"/>
        <v>0</v>
      </c>
      <c r="BX94" s="75"/>
      <c r="BY94" s="75"/>
      <c r="BZ94" s="75">
        <f t="shared" si="119"/>
        <v>0</v>
      </c>
      <c r="CA94" s="25">
        <f t="shared" si="120"/>
        <v>0</v>
      </c>
      <c r="CB94" s="75">
        <f t="shared" si="121"/>
        <v>0</v>
      </c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25">
        <f t="shared" si="122"/>
        <v>1</v>
      </c>
      <c r="CX94" s="75">
        <f t="shared" si="123"/>
        <v>10000000</v>
      </c>
      <c r="CY94" s="75"/>
      <c r="CZ94" s="75"/>
      <c r="DA94" s="75"/>
      <c r="DB94" s="75">
        <f t="shared" si="124"/>
        <v>0</v>
      </c>
      <c r="DC94" s="75"/>
      <c r="DD94" s="75">
        <f t="shared" si="125"/>
        <v>10000000</v>
      </c>
      <c r="DE94" s="75">
        <f t="shared" si="126"/>
        <v>0</v>
      </c>
      <c r="DF94" s="75"/>
      <c r="DG94" s="75">
        <f t="shared" si="127"/>
        <v>0</v>
      </c>
      <c r="DH94" s="75">
        <f t="shared" si="128"/>
        <v>0</v>
      </c>
      <c r="DI94" s="75"/>
      <c r="DJ94" s="75">
        <f t="shared" si="129"/>
        <v>0</v>
      </c>
      <c r="DK94" s="75">
        <f t="shared" si="130"/>
        <v>0</v>
      </c>
      <c r="DL94" s="75">
        <f t="shared" si="131"/>
        <v>0</v>
      </c>
      <c r="DM94" s="75">
        <f t="shared" si="132"/>
        <v>0</v>
      </c>
      <c r="DN94" s="75">
        <f t="shared" si="133"/>
        <v>0</v>
      </c>
      <c r="DO94" s="75">
        <f t="shared" si="134"/>
        <v>0</v>
      </c>
      <c r="DP94" s="75">
        <f t="shared" si="135"/>
        <v>0</v>
      </c>
      <c r="DQ94" s="75"/>
      <c r="DR94" s="75">
        <f t="shared" si="136"/>
        <v>0</v>
      </c>
    </row>
    <row r="95" spans="1:122" ht="36" customHeight="1" x14ac:dyDescent="0.25">
      <c r="A95" s="242"/>
      <c r="B95" s="81" t="s">
        <v>231</v>
      </c>
      <c r="C95" s="82" t="s">
        <v>230</v>
      </c>
      <c r="D95" s="81" t="s">
        <v>229</v>
      </c>
      <c r="E95" s="97">
        <v>520</v>
      </c>
      <c r="F95" s="78" t="s">
        <v>214</v>
      </c>
      <c r="G95" s="227">
        <v>150000000</v>
      </c>
      <c r="H95" s="79">
        <f t="shared" si="107"/>
        <v>0</v>
      </c>
      <c r="I95" s="79">
        <f t="shared" si="108"/>
        <v>15000000</v>
      </c>
      <c r="J95" s="78"/>
      <c r="K95" s="78"/>
      <c r="L95" s="78"/>
      <c r="M95" s="75">
        <f t="shared" si="109"/>
        <v>15000000</v>
      </c>
      <c r="N95" s="45"/>
      <c r="O95" s="45">
        <f>15000000-15000000</f>
        <v>0</v>
      </c>
      <c r="P95" s="45"/>
      <c r="Q95" s="45"/>
      <c r="R95" s="45"/>
      <c r="S95" s="115">
        <f>15000000</f>
        <v>15000000</v>
      </c>
      <c r="T95" s="45"/>
      <c r="U95" s="45"/>
      <c r="V95" s="45"/>
      <c r="W95" s="45"/>
      <c r="X95" s="45"/>
      <c r="Y95" s="24"/>
      <c r="Z95" s="45"/>
      <c r="AA95" s="45"/>
      <c r="AB95" s="45"/>
      <c r="AC95" s="45"/>
      <c r="AD95" s="45"/>
      <c r="AE95" s="45"/>
      <c r="AF95" s="45"/>
      <c r="AG95" s="116"/>
      <c r="AH95" s="113"/>
      <c r="AI95" s="25">
        <f t="shared" si="110"/>
        <v>1</v>
      </c>
      <c r="AJ95" s="75">
        <f t="shared" si="111"/>
        <v>15000000</v>
      </c>
      <c r="AK95" s="75"/>
      <c r="AL95" s="75"/>
      <c r="AM95" s="75"/>
      <c r="AN95" s="75"/>
      <c r="AO95" s="75"/>
      <c r="AP95" s="75">
        <f>+'[5]FEBRERO 2015'!$N$1280</f>
        <v>15000000</v>
      </c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25">
        <f t="shared" si="147"/>
        <v>0</v>
      </c>
      <c r="BF95" s="75">
        <f t="shared" si="112"/>
        <v>0</v>
      </c>
      <c r="BG95" s="75">
        <f t="shared" si="113"/>
        <v>0</v>
      </c>
      <c r="BH95" s="75">
        <f t="shared" si="114"/>
        <v>0</v>
      </c>
      <c r="BI95" s="75"/>
      <c r="BJ95" s="75">
        <f t="shared" si="115"/>
        <v>0</v>
      </c>
      <c r="BK95" s="75"/>
      <c r="BL95" s="75">
        <f t="shared" si="116"/>
        <v>0</v>
      </c>
      <c r="BM95" s="75">
        <f t="shared" si="117"/>
        <v>0</v>
      </c>
      <c r="BN95" s="75"/>
      <c r="BO95" s="75">
        <f t="shared" si="145"/>
        <v>0</v>
      </c>
      <c r="BP95" s="75">
        <f t="shared" si="137"/>
        <v>0</v>
      </c>
      <c r="BQ95" s="75"/>
      <c r="BR95" s="75">
        <f t="shared" si="140"/>
        <v>0</v>
      </c>
      <c r="BS95" s="75">
        <f t="shared" si="141"/>
        <v>0</v>
      </c>
      <c r="BT95" s="75">
        <f t="shared" si="142"/>
        <v>0</v>
      </c>
      <c r="BU95" s="75">
        <f t="shared" si="146"/>
        <v>0</v>
      </c>
      <c r="BV95" s="75">
        <f t="shared" si="143"/>
        <v>0</v>
      </c>
      <c r="BW95" s="75">
        <f t="shared" si="144"/>
        <v>0</v>
      </c>
      <c r="BX95" s="75"/>
      <c r="BY95" s="75"/>
      <c r="BZ95" s="75">
        <f t="shared" si="119"/>
        <v>0</v>
      </c>
      <c r="CA95" s="25">
        <f t="shared" si="120"/>
        <v>0</v>
      </c>
      <c r="CB95" s="75">
        <f t="shared" si="121"/>
        <v>0</v>
      </c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25">
        <f t="shared" si="122"/>
        <v>1</v>
      </c>
      <c r="CX95" s="75">
        <f t="shared" si="123"/>
        <v>15000000</v>
      </c>
      <c r="CY95" s="75"/>
      <c r="CZ95" s="75">
        <f>O95-CD95</f>
        <v>0</v>
      </c>
      <c r="DA95" s="75">
        <f>P95-CE95</f>
        <v>0</v>
      </c>
      <c r="DB95" s="75">
        <f t="shared" si="124"/>
        <v>0</v>
      </c>
      <c r="DC95" s="75"/>
      <c r="DD95" s="75">
        <f t="shared" si="125"/>
        <v>15000000</v>
      </c>
      <c r="DE95" s="75">
        <f t="shared" si="126"/>
        <v>0</v>
      </c>
      <c r="DF95" s="75"/>
      <c r="DG95" s="75">
        <f t="shared" si="127"/>
        <v>0</v>
      </c>
      <c r="DH95" s="75">
        <f t="shared" si="128"/>
        <v>0</v>
      </c>
      <c r="DI95" s="75"/>
      <c r="DJ95" s="75">
        <f t="shared" si="129"/>
        <v>0</v>
      </c>
      <c r="DK95" s="75">
        <f t="shared" si="130"/>
        <v>0</v>
      </c>
      <c r="DL95" s="75">
        <f t="shared" si="131"/>
        <v>0</v>
      </c>
      <c r="DM95" s="75">
        <f t="shared" si="132"/>
        <v>0</v>
      </c>
      <c r="DN95" s="75">
        <f t="shared" si="133"/>
        <v>0</v>
      </c>
      <c r="DO95" s="75">
        <f t="shared" si="134"/>
        <v>0</v>
      </c>
      <c r="DP95" s="75">
        <f t="shared" si="135"/>
        <v>0</v>
      </c>
      <c r="DQ95" s="75"/>
      <c r="DR95" s="75">
        <f t="shared" si="136"/>
        <v>0</v>
      </c>
    </row>
    <row r="96" spans="1:122" ht="35.25" customHeight="1" x14ac:dyDescent="0.25">
      <c r="A96" s="242"/>
      <c r="B96" s="81"/>
      <c r="C96" s="82" t="s">
        <v>228</v>
      </c>
      <c r="D96" s="81" t="s">
        <v>227</v>
      </c>
      <c r="E96" s="97">
        <v>520</v>
      </c>
      <c r="F96" s="78" t="s">
        <v>214</v>
      </c>
      <c r="G96" s="228"/>
      <c r="H96" s="79">
        <f t="shared" si="107"/>
        <v>21125500</v>
      </c>
      <c r="I96" s="79">
        <f t="shared" si="108"/>
        <v>8874500</v>
      </c>
      <c r="J96" s="78"/>
      <c r="K96" s="78"/>
      <c r="L96" s="78"/>
      <c r="M96" s="75">
        <f t="shared" si="109"/>
        <v>30000000</v>
      </c>
      <c r="N96" s="45"/>
      <c r="O96" s="45">
        <f>30000000-30000000</f>
        <v>0</v>
      </c>
      <c r="P96" s="45"/>
      <c r="Q96" s="45"/>
      <c r="R96" s="45"/>
      <c r="S96" s="115">
        <v>30000000</v>
      </c>
      <c r="T96" s="45"/>
      <c r="U96" s="45"/>
      <c r="V96" s="45"/>
      <c r="W96" s="45"/>
      <c r="X96" s="45"/>
      <c r="Y96" s="24"/>
      <c r="Z96" s="45"/>
      <c r="AA96" s="45"/>
      <c r="AB96" s="45"/>
      <c r="AC96" s="45"/>
      <c r="AD96" s="45"/>
      <c r="AE96" s="45"/>
      <c r="AF96" s="45"/>
      <c r="AG96" s="116"/>
      <c r="AH96" s="113"/>
      <c r="AI96" s="25">
        <f t="shared" si="110"/>
        <v>1</v>
      </c>
      <c r="AJ96" s="75">
        <f t="shared" si="111"/>
        <v>30000000</v>
      </c>
      <c r="AK96" s="75"/>
      <c r="AL96" s="75"/>
      <c r="AM96" s="75"/>
      <c r="AN96" s="75"/>
      <c r="AO96" s="75"/>
      <c r="AP96" s="75">
        <f>+'[5]FEBRERO 2015'!$N$1285</f>
        <v>30000000</v>
      </c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25">
        <f t="shared" si="147"/>
        <v>0</v>
      </c>
      <c r="BF96" s="75">
        <f t="shared" si="112"/>
        <v>0</v>
      </c>
      <c r="BG96" s="75">
        <f t="shared" si="113"/>
        <v>0</v>
      </c>
      <c r="BH96" s="75">
        <f t="shared" si="114"/>
        <v>0</v>
      </c>
      <c r="BI96" s="75"/>
      <c r="BJ96" s="75">
        <f t="shared" si="115"/>
        <v>0</v>
      </c>
      <c r="BK96" s="75"/>
      <c r="BL96" s="75">
        <f t="shared" si="116"/>
        <v>0</v>
      </c>
      <c r="BM96" s="75">
        <f t="shared" si="117"/>
        <v>0</v>
      </c>
      <c r="BN96" s="75"/>
      <c r="BO96" s="75">
        <f t="shared" si="145"/>
        <v>0</v>
      </c>
      <c r="BP96" s="75">
        <f t="shared" si="137"/>
        <v>0</v>
      </c>
      <c r="BQ96" s="75"/>
      <c r="BR96" s="75">
        <f t="shared" si="140"/>
        <v>0</v>
      </c>
      <c r="BS96" s="75">
        <f t="shared" si="141"/>
        <v>0</v>
      </c>
      <c r="BT96" s="75">
        <f t="shared" si="142"/>
        <v>0</v>
      </c>
      <c r="BU96" s="75">
        <f t="shared" si="146"/>
        <v>0</v>
      </c>
      <c r="BV96" s="75">
        <f t="shared" si="143"/>
        <v>0</v>
      </c>
      <c r="BW96" s="75">
        <f t="shared" si="144"/>
        <v>0</v>
      </c>
      <c r="BX96" s="75"/>
      <c r="BY96" s="75"/>
      <c r="BZ96" s="75">
        <f t="shared" si="119"/>
        <v>0</v>
      </c>
      <c r="CA96" s="25">
        <f t="shared" si="120"/>
        <v>0.70418333333333338</v>
      </c>
      <c r="CB96" s="75">
        <f t="shared" si="121"/>
        <v>21125500</v>
      </c>
      <c r="CC96" s="75"/>
      <c r="CD96" s="75"/>
      <c r="CE96" s="75"/>
      <c r="CF96" s="75"/>
      <c r="CG96" s="75"/>
      <c r="CH96" s="75">
        <f>+'[1]AGOSTO 2015'!$H$3018</f>
        <v>21125500</v>
      </c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25">
        <f t="shared" si="122"/>
        <v>0.29581666666666662</v>
      </c>
      <c r="CX96" s="75">
        <f t="shared" si="123"/>
        <v>8874500</v>
      </c>
      <c r="CY96" s="75"/>
      <c r="CZ96" s="75">
        <f>O96-CD96</f>
        <v>0</v>
      </c>
      <c r="DA96" s="75">
        <f>P96-CE96</f>
        <v>0</v>
      </c>
      <c r="DB96" s="75">
        <f t="shared" si="124"/>
        <v>0</v>
      </c>
      <c r="DC96" s="75"/>
      <c r="DD96" s="75">
        <f t="shared" si="125"/>
        <v>8874500</v>
      </c>
      <c r="DE96" s="75">
        <f t="shared" si="126"/>
        <v>0</v>
      </c>
      <c r="DF96" s="75"/>
      <c r="DG96" s="75">
        <f t="shared" si="127"/>
        <v>0</v>
      </c>
      <c r="DH96" s="75">
        <f t="shared" si="128"/>
        <v>0</v>
      </c>
      <c r="DI96" s="75"/>
      <c r="DJ96" s="75">
        <f t="shared" si="129"/>
        <v>0</v>
      </c>
      <c r="DK96" s="75">
        <f t="shared" si="130"/>
        <v>0</v>
      </c>
      <c r="DL96" s="75">
        <f t="shared" si="131"/>
        <v>0</v>
      </c>
      <c r="DM96" s="75">
        <f t="shared" si="132"/>
        <v>0</v>
      </c>
      <c r="DN96" s="75">
        <f t="shared" si="133"/>
        <v>0</v>
      </c>
      <c r="DO96" s="75">
        <f t="shared" si="134"/>
        <v>0</v>
      </c>
      <c r="DP96" s="75">
        <f t="shared" si="135"/>
        <v>0</v>
      </c>
      <c r="DQ96" s="75"/>
      <c r="DR96" s="75">
        <f t="shared" si="136"/>
        <v>0</v>
      </c>
    </row>
    <row r="97" spans="1:122" ht="34.5" customHeight="1" x14ac:dyDescent="0.25">
      <c r="A97" s="242"/>
      <c r="B97" s="81"/>
      <c r="C97" s="82" t="s">
        <v>226</v>
      </c>
      <c r="D97" s="81" t="s">
        <v>225</v>
      </c>
      <c r="E97" s="97">
        <v>520</v>
      </c>
      <c r="F97" s="78" t="s">
        <v>214</v>
      </c>
      <c r="G97" s="228"/>
      <c r="H97" s="79">
        <f t="shared" si="107"/>
        <v>0</v>
      </c>
      <c r="I97" s="79">
        <f t="shared" si="108"/>
        <v>20000000</v>
      </c>
      <c r="J97" s="78"/>
      <c r="K97" s="78"/>
      <c r="L97" s="78"/>
      <c r="M97" s="75">
        <f t="shared" si="109"/>
        <v>20000000</v>
      </c>
      <c r="N97" s="45"/>
      <c r="O97" s="45"/>
      <c r="P97" s="45"/>
      <c r="Q97" s="45"/>
      <c r="R97" s="45"/>
      <c r="S97" s="75">
        <f>50000000-30000000</f>
        <v>20000000</v>
      </c>
      <c r="T97" s="45"/>
      <c r="U97" s="45"/>
      <c r="V97" s="45"/>
      <c r="W97" s="45"/>
      <c r="X97" s="45"/>
      <c r="Y97" s="24"/>
      <c r="Z97" s="45"/>
      <c r="AA97" s="45"/>
      <c r="AB97" s="45"/>
      <c r="AC97" s="45"/>
      <c r="AD97" s="45"/>
      <c r="AE97" s="45"/>
      <c r="AF97" s="45"/>
      <c r="AG97" s="116"/>
      <c r="AH97" s="113"/>
      <c r="AI97" s="25">
        <f t="shared" si="110"/>
        <v>1</v>
      </c>
      <c r="AJ97" s="75">
        <f t="shared" si="111"/>
        <v>20000000</v>
      </c>
      <c r="AK97" s="75"/>
      <c r="AL97" s="75"/>
      <c r="AM97" s="75"/>
      <c r="AN97" s="75"/>
      <c r="AO97" s="75"/>
      <c r="AP97" s="75">
        <f>+'[8]FEBRERO 2015'!$N$1216-30000000</f>
        <v>20000000</v>
      </c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25">
        <f t="shared" si="147"/>
        <v>0</v>
      </c>
      <c r="BF97" s="75">
        <f t="shared" si="112"/>
        <v>0</v>
      </c>
      <c r="BG97" s="75">
        <f t="shared" si="113"/>
        <v>0</v>
      </c>
      <c r="BH97" s="75">
        <f t="shared" si="114"/>
        <v>0</v>
      </c>
      <c r="BI97" s="75"/>
      <c r="BJ97" s="75">
        <f t="shared" si="115"/>
        <v>0</v>
      </c>
      <c r="BK97" s="75"/>
      <c r="BL97" s="75">
        <f t="shared" si="116"/>
        <v>0</v>
      </c>
      <c r="BM97" s="75">
        <f t="shared" si="117"/>
        <v>0</v>
      </c>
      <c r="BN97" s="75"/>
      <c r="BO97" s="75">
        <f t="shared" si="145"/>
        <v>0</v>
      </c>
      <c r="BP97" s="75">
        <f t="shared" si="137"/>
        <v>0</v>
      </c>
      <c r="BQ97" s="75"/>
      <c r="BR97" s="75">
        <f t="shared" si="140"/>
        <v>0</v>
      </c>
      <c r="BS97" s="75">
        <f t="shared" si="141"/>
        <v>0</v>
      </c>
      <c r="BT97" s="75">
        <f t="shared" si="142"/>
        <v>0</v>
      </c>
      <c r="BU97" s="75">
        <f t="shared" si="146"/>
        <v>0</v>
      </c>
      <c r="BV97" s="75">
        <f t="shared" si="143"/>
        <v>0</v>
      </c>
      <c r="BW97" s="75">
        <f t="shared" si="144"/>
        <v>0</v>
      </c>
      <c r="BX97" s="75"/>
      <c r="BY97" s="75"/>
      <c r="BZ97" s="75">
        <f t="shared" si="119"/>
        <v>0</v>
      </c>
      <c r="CA97" s="25">
        <f t="shared" si="120"/>
        <v>0</v>
      </c>
      <c r="CB97" s="75">
        <f t="shared" si="121"/>
        <v>0</v>
      </c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25">
        <f t="shared" si="122"/>
        <v>1</v>
      </c>
      <c r="CX97" s="75">
        <f t="shared" si="123"/>
        <v>20000000</v>
      </c>
      <c r="CY97" s="75"/>
      <c r="CZ97" s="75"/>
      <c r="DA97" s="75"/>
      <c r="DB97" s="75">
        <f t="shared" si="124"/>
        <v>0</v>
      </c>
      <c r="DC97" s="75"/>
      <c r="DD97" s="75">
        <f t="shared" si="125"/>
        <v>20000000</v>
      </c>
      <c r="DE97" s="75">
        <f t="shared" si="126"/>
        <v>0</v>
      </c>
      <c r="DF97" s="75"/>
      <c r="DG97" s="75">
        <f t="shared" si="127"/>
        <v>0</v>
      </c>
      <c r="DH97" s="75">
        <f t="shared" si="128"/>
        <v>0</v>
      </c>
      <c r="DI97" s="75"/>
      <c r="DJ97" s="75">
        <f t="shared" si="129"/>
        <v>0</v>
      </c>
      <c r="DK97" s="75">
        <f t="shared" si="130"/>
        <v>0</v>
      </c>
      <c r="DL97" s="75">
        <f t="shared" si="131"/>
        <v>0</v>
      </c>
      <c r="DM97" s="75">
        <f t="shared" si="132"/>
        <v>0</v>
      </c>
      <c r="DN97" s="75">
        <f t="shared" si="133"/>
        <v>0</v>
      </c>
      <c r="DO97" s="75">
        <f t="shared" si="134"/>
        <v>0</v>
      </c>
      <c r="DP97" s="75">
        <f t="shared" si="135"/>
        <v>0</v>
      </c>
      <c r="DQ97" s="75"/>
      <c r="DR97" s="75">
        <f t="shared" si="136"/>
        <v>0</v>
      </c>
    </row>
    <row r="98" spans="1:122" ht="33.75" customHeight="1" x14ac:dyDescent="0.25">
      <c r="A98" s="242"/>
      <c r="B98" s="81"/>
      <c r="C98" s="82" t="s">
        <v>224</v>
      </c>
      <c r="D98" s="81" t="s">
        <v>223</v>
      </c>
      <c r="E98" s="97">
        <v>520</v>
      </c>
      <c r="F98" s="78" t="s">
        <v>214</v>
      </c>
      <c r="G98" s="229"/>
      <c r="H98" s="79">
        <f t="shared" si="107"/>
        <v>646074</v>
      </c>
      <c r="I98" s="79">
        <f t="shared" si="108"/>
        <v>24353926</v>
      </c>
      <c r="J98" s="78"/>
      <c r="K98" s="78"/>
      <c r="L98" s="78"/>
      <c r="M98" s="75">
        <f t="shared" si="109"/>
        <v>25000000</v>
      </c>
      <c r="N98" s="45"/>
      <c r="O98" s="45">
        <f>10819123-10819123</f>
        <v>0</v>
      </c>
      <c r="P98" s="45"/>
      <c r="Q98" s="45"/>
      <c r="R98" s="45"/>
      <c r="S98" s="115">
        <f>44180877+10819123-30000000</f>
        <v>25000000</v>
      </c>
      <c r="T98" s="45"/>
      <c r="U98" s="45"/>
      <c r="V98" s="45"/>
      <c r="W98" s="45"/>
      <c r="X98" s="45"/>
      <c r="Y98" s="24"/>
      <c r="Z98" s="45"/>
      <c r="AA98" s="45"/>
      <c r="AB98" s="75"/>
      <c r="AC98" s="75"/>
      <c r="AD98" s="75"/>
      <c r="AE98" s="75"/>
      <c r="AF98" s="75"/>
      <c r="AG98" s="75"/>
      <c r="AH98" s="113"/>
      <c r="AI98" s="25">
        <f t="shared" si="110"/>
        <v>0.56723508</v>
      </c>
      <c r="AJ98" s="75">
        <f t="shared" si="111"/>
        <v>14180877</v>
      </c>
      <c r="AK98" s="75"/>
      <c r="AL98" s="75"/>
      <c r="AM98" s="75"/>
      <c r="AN98" s="75"/>
      <c r="AO98" s="75"/>
      <c r="AP98" s="75">
        <f>+'[8]FEBRERO 2015'!$N$1221-30000000</f>
        <v>14180877</v>
      </c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25">
        <f t="shared" si="147"/>
        <v>0.43276492</v>
      </c>
      <c r="BF98" s="75">
        <f t="shared" si="112"/>
        <v>10819123</v>
      </c>
      <c r="BG98" s="75">
        <f t="shared" si="113"/>
        <v>0</v>
      </c>
      <c r="BH98" s="75">
        <f t="shared" si="114"/>
        <v>0</v>
      </c>
      <c r="BI98" s="75"/>
      <c r="BJ98" s="75">
        <f t="shared" si="115"/>
        <v>0</v>
      </c>
      <c r="BK98" s="75"/>
      <c r="BL98" s="75">
        <f t="shared" si="116"/>
        <v>10819123</v>
      </c>
      <c r="BM98" s="75">
        <f t="shared" si="117"/>
        <v>0</v>
      </c>
      <c r="BN98" s="75"/>
      <c r="BO98" s="75">
        <f t="shared" si="145"/>
        <v>0</v>
      </c>
      <c r="BP98" s="75">
        <f t="shared" si="137"/>
        <v>0</v>
      </c>
      <c r="BQ98" s="75"/>
      <c r="BR98" s="75">
        <f t="shared" si="140"/>
        <v>0</v>
      </c>
      <c r="BS98" s="75">
        <f t="shared" si="141"/>
        <v>0</v>
      </c>
      <c r="BT98" s="75">
        <f t="shared" si="142"/>
        <v>0</v>
      </c>
      <c r="BU98" s="75">
        <f t="shared" si="146"/>
        <v>0</v>
      </c>
      <c r="BV98" s="75">
        <f t="shared" si="143"/>
        <v>0</v>
      </c>
      <c r="BW98" s="75">
        <f t="shared" si="144"/>
        <v>0</v>
      </c>
      <c r="BX98" s="75"/>
      <c r="BY98" s="75"/>
      <c r="BZ98" s="75">
        <f t="shared" si="119"/>
        <v>0</v>
      </c>
      <c r="CA98" s="25">
        <f t="shared" si="120"/>
        <v>2.5842960000000002E-2</v>
      </c>
      <c r="CB98" s="75">
        <f t="shared" si="121"/>
        <v>646074</v>
      </c>
      <c r="CC98" s="75"/>
      <c r="CD98" s="75"/>
      <c r="CE98" s="75"/>
      <c r="CF98" s="75"/>
      <c r="CG98" s="75"/>
      <c r="CH98" s="75">
        <f>+'[1]AGOSTO 2015'!$H$3027</f>
        <v>646074</v>
      </c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25">
        <f t="shared" si="122"/>
        <v>0.97415704000000003</v>
      </c>
      <c r="CX98" s="75">
        <f t="shared" si="123"/>
        <v>24353926</v>
      </c>
      <c r="CY98" s="75"/>
      <c r="CZ98" s="75">
        <f>O98-CD98</f>
        <v>0</v>
      </c>
      <c r="DA98" s="75">
        <f>P98-CE98</f>
        <v>0</v>
      </c>
      <c r="DB98" s="75">
        <f t="shared" si="124"/>
        <v>0</v>
      </c>
      <c r="DC98" s="75"/>
      <c r="DD98" s="75">
        <f t="shared" si="125"/>
        <v>24353926</v>
      </c>
      <c r="DE98" s="75">
        <f t="shared" si="126"/>
        <v>0</v>
      </c>
      <c r="DF98" s="75"/>
      <c r="DG98" s="75">
        <f t="shared" si="127"/>
        <v>0</v>
      </c>
      <c r="DH98" s="75">
        <f t="shared" si="128"/>
        <v>0</v>
      </c>
      <c r="DI98" s="75"/>
      <c r="DJ98" s="75">
        <f t="shared" si="129"/>
        <v>0</v>
      </c>
      <c r="DK98" s="75">
        <f t="shared" si="130"/>
        <v>0</v>
      </c>
      <c r="DL98" s="75">
        <f t="shared" si="131"/>
        <v>0</v>
      </c>
      <c r="DM98" s="75">
        <f t="shared" si="132"/>
        <v>0</v>
      </c>
      <c r="DN98" s="75">
        <f t="shared" si="133"/>
        <v>0</v>
      </c>
      <c r="DO98" s="75">
        <f t="shared" si="134"/>
        <v>0</v>
      </c>
      <c r="DP98" s="75">
        <f t="shared" si="135"/>
        <v>0</v>
      </c>
      <c r="DQ98" s="75"/>
      <c r="DR98" s="75">
        <f t="shared" si="136"/>
        <v>0</v>
      </c>
    </row>
    <row r="99" spans="1:122" ht="32.25" customHeight="1" x14ac:dyDescent="0.25">
      <c r="A99" s="242"/>
      <c r="B99" s="81" t="s">
        <v>222</v>
      </c>
      <c r="C99" s="82" t="s">
        <v>221</v>
      </c>
      <c r="D99" s="81" t="s">
        <v>220</v>
      </c>
      <c r="E99" s="97">
        <v>520</v>
      </c>
      <c r="F99" s="78" t="s">
        <v>214</v>
      </c>
      <c r="G99" s="78">
        <v>10000000</v>
      </c>
      <c r="H99" s="79">
        <f t="shared" si="107"/>
        <v>0</v>
      </c>
      <c r="I99" s="79">
        <f t="shared" si="108"/>
        <v>0</v>
      </c>
      <c r="J99" s="78"/>
      <c r="K99" s="78"/>
      <c r="L99" s="78"/>
      <c r="M99" s="75">
        <f t="shared" si="109"/>
        <v>0</v>
      </c>
      <c r="N99" s="45"/>
      <c r="O99" s="45"/>
      <c r="P99" s="45"/>
      <c r="Q99" s="45"/>
      <c r="R99" s="45"/>
      <c r="S99" s="75">
        <f>10000000-10000000</f>
        <v>0</v>
      </c>
      <c r="T99" s="45"/>
      <c r="U99" s="45"/>
      <c r="V99" s="45"/>
      <c r="W99" s="45"/>
      <c r="X99" s="45"/>
      <c r="Y99" s="24"/>
      <c r="Z99" s="45"/>
      <c r="AA99" s="45"/>
      <c r="AB99" s="75">
        <f>10000000-10000000</f>
        <v>0</v>
      </c>
      <c r="AC99" s="75"/>
      <c r="AD99" s="75"/>
      <c r="AE99" s="75"/>
      <c r="AF99" s="75"/>
      <c r="AG99" s="75"/>
      <c r="AH99" s="113"/>
      <c r="AI99" s="25" t="e">
        <f t="shared" si="110"/>
        <v>#DIV/0!</v>
      </c>
      <c r="AJ99" s="75">
        <f t="shared" si="111"/>
        <v>0</v>
      </c>
      <c r="AK99" s="75"/>
      <c r="AL99" s="75"/>
      <c r="AM99" s="75"/>
      <c r="AN99" s="75"/>
      <c r="AO99" s="75"/>
      <c r="AP99" s="75">
        <f>+'[8]FEBRERO 2015'!$N$1228-10000000</f>
        <v>0</v>
      </c>
      <c r="AQ99" s="75"/>
      <c r="AR99" s="75"/>
      <c r="AS99" s="75"/>
      <c r="AT99" s="75"/>
      <c r="AU99" s="75"/>
      <c r="AV99" s="75"/>
      <c r="AW99" s="75"/>
      <c r="AX99" s="75"/>
      <c r="AY99" s="75">
        <f>+'[5]FEBRERO 2015'!$W$1302-10000000</f>
        <v>0</v>
      </c>
      <c r="AZ99" s="75"/>
      <c r="BA99" s="75"/>
      <c r="BB99" s="75"/>
      <c r="BC99" s="75"/>
      <c r="BD99" s="75"/>
      <c r="BE99" s="25" t="e">
        <f t="shared" si="147"/>
        <v>#DIV/0!</v>
      </c>
      <c r="BF99" s="75">
        <f t="shared" si="112"/>
        <v>0</v>
      </c>
      <c r="BG99" s="75">
        <f t="shared" si="113"/>
        <v>0</v>
      </c>
      <c r="BH99" s="75">
        <f t="shared" si="114"/>
        <v>0</v>
      </c>
      <c r="BI99" s="75"/>
      <c r="BJ99" s="75">
        <f t="shared" si="115"/>
        <v>0</v>
      </c>
      <c r="BK99" s="75"/>
      <c r="BL99" s="75">
        <f t="shared" si="116"/>
        <v>0</v>
      </c>
      <c r="BM99" s="75">
        <f t="shared" si="117"/>
        <v>0</v>
      </c>
      <c r="BN99" s="75"/>
      <c r="BO99" s="75">
        <f t="shared" si="145"/>
        <v>0</v>
      </c>
      <c r="BP99" s="75">
        <f t="shared" si="137"/>
        <v>0</v>
      </c>
      <c r="BQ99" s="75"/>
      <c r="BR99" s="75">
        <f t="shared" si="140"/>
        <v>0</v>
      </c>
      <c r="BS99" s="75">
        <f t="shared" si="141"/>
        <v>0</v>
      </c>
      <c r="BT99" s="75">
        <f t="shared" si="142"/>
        <v>0</v>
      </c>
      <c r="BU99" s="75">
        <f t="shared" si="146"/>
        <v>0</v>
      </c>
      <c r="BV99" s="75">
        <f t="shared" si="143"/>
        <v>0</v>
      </c>
      <c r="BW99" s="75">
        <f t="shared" si="144"/>
        <v>0</v>
      </c>
      <c r="BX99" s="75"/>
      <c r="BY99" s="75"/>
      <c r="BZ99" s="75">
        <f t="shared" si="119"/>
        <v>0</v>
      </c>
      <c r="CA99" s="25" t="e">
        <f t="shared" si="120"/>
        <v>#DIV/0!</v>
      </c>
      <c r="CB99" s="75">
        <f t="shared" si="121"/>
        <v>0</v>
      </c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25" t="e">
        <f t="shared" si="122"/>
        <v>#DIV/0!</v>
      </c>
      <c r="CX99" s="75">
        <f t="shared" si="123"/>
        <v>0</v>
      </c>
      <c r="CY99" s="75"/>
      <c r="CZ99" s="75"/>
      <c r="DA99" s="75"/>
      <c r="DB99" s="75">
        <f t="shared" si="124"/>
        <v>0</v>
      </c>
      <c r="DC99" s="75"/>
      <c r="DD99" s="75">
        <f t="shared" si="125"/>
        <v>0</v>
      </c>
      <c r="DE99" s="75">
        <f t="shared" si="126"/>
        <v>0</v>
      </c>
      <c r="DF99" s="75"/>
      <c r="DG99" s="75">
        <f t="shared" si="127"/>
        <v>0</v>
      </c>
      <c r="DH99" s="75">
        <f t="shared" si="128"/>
        <v>0</v>
      </c>
      <c r="DI99" s="75"/>
      <c r="DJ99" s="75">
        <f t="shared" si="129"/>
        <v>0</v>
      </c>
      <c r="DK99" s="75">
        <f t="shared" si="130"/>
        <v>0</v>
      </c>
      <c r="DL99" s="75">
        <f t="shared" si="131"/>
        <v>0</v>
      </c>
      <c r="DM99" s="75">
        <f t="shared" si="132"/>
        <v>0</v>
      </c>
      <c r="DN99" s="75">
        <f t="shared" si="133"/>
        <v>0</v>
      </c>
      <c r="DO99" s="75">
        <f t="shared" si="134"/>
        <v>0</v>
      </c>
      <c r="DP99" s="75">
        <f t="shared" si="135"/>
        <v>0</v>
      </c>
      <c r="DQ99" s="75"/>
      <c r="DR99" s="75">
        <f t="shared" si="136"/>
        <v>0</v>
      </c>
    </row>
    <row r="100" spans="1:122" ht="24" customHeight="1" x14ac:dyDescent="0.25">
      <c r="A100" s="242"/>
      <c r="B100" s="81" t="s">
        <v>219</v>
      </c>
      <c r="C100" s="82" t="s">
        <v>218</v>
      </c>
      <c r="D100" s="81" t="s">
        <v>217</v>
      </c>
      <c r="E100" s="97">
        <v>520</v>
      </c>
      <c r="F100" s="78" t="s">
        <v>214</v>
      </c>
      <c r="G100" s="227">
        <v>361000000</v>
      </c>
      <c r="H100" s="79">
        <f t="shared" si="107"/>
        <v>93970657</v>
      </c>
      <c r="I100" s="79">
        <f t="shared" si="108"/>
        <v>78180550</v>
      </c>
      <c r="J100" s="78"/>
      <c r="K100" s="78"/>
      <c r="L100" s="78"/>
      <c r="M100" s="75">
        <f t="shared" si="109"/>
        <v>172151207</v>
      </c>
      <c r="N100" s="45"/>
      <c r="O100" s="45"/>
      <c r="P100" s="45"/>
      <c r="Q100" s="75">
        <f>80000000-72884540-7115460</f>
        <v>0</v>
      </c>
      <c r="R100" s="75">
        <v>72884540</v>
      </c>
      <c r="S100" s="115">
        <f>170000000-80733333</f>
        <v>89266667</v>
      </c>
      <c r="T100" s="45"/>
      <c r="U100" s="45"/>
      <c r="V100" s="45"/>
      <c r="W100" s="45"/>
      <c r="X100" s="45"/>
      <c r="Y100" s="24"/>
      <c r="Z100" s="45"/>
      <c r="AA100" s="45"/>
      <c r="AB100" s="75">
        <v>10000000</v>
      </c>
      <c r="AC100" s="75"/>
      <c r="AD100" s="75"/>
      <c r="AE100" s="75"/>
      <c r="AF100" s="75"/>
      <c r="AG100" s="75"/>
      <c r="AH100" s="113"/>
      <c r="AI100" s="25">
        <f t="shared" ref="AI100:AI103" si="148">+AJ100/M100</f>
        <v>0.57662486792787926</v>
      </c>
      <c r="AJ100" s="75">
        <f t="shared" si="111"/>
        <v>99266667</v>
      </c>
      <c r="AK100" s="75"/>
      <c r="AL100" s="75"/>
      <c r="AM100" s="75"/>
      <c r="AN100" s="75"/>
      <c r="AO100" s="75"/>
      <c r="AP100" s="75">
        <f>+'[5]FEBRERO 2015'!$N$1309</f>
        <v>89266667</v>
      </c>
      <c r="AQ100" s="75"/>
      <c r="AR100" s="75"/>
      <c r="AS100" s="75"/>
      <c r="AT100" s="75"/>
      <c r="AU100" s="75"/>
      <c r="AV100" s="75"/>
      <c r="AW100" s="75"/>
      <c r="AX100" s="75"/>
      <c r="AY100" s="75">
        <f>+'[5]FEBRERO 2015'!$W$1309</f>
        <v>10000000</v>
      </c>
      <c r="AZ100" s="75"/>
      <c r="BA100" s="75"/>
      <c r="BB100" s="75"/>
      <c r="BC100" s="75"/>
      <c r="BD100" s="75"/>
      <c r="BE100" s="25">
        <f t="shared" si="147"/>
        <v>0.42337513207212074</v>
      </c>
      <c r="BF100" s="75">
        <f t="shared" si="112"/>
        <v>72884540</v>
      </c>
      <c r="BG100" s="75">
        <f t="shared" si="113"/>
        <v>0</v>
      </c>
      <c r="BH100" s="75">
        <f t="shared" si="114"/>
        <v>0</v>
      </c>
      <c r="BI100" s="75"/>
      <c r="BJ100" s="75">
        <f t="shared" si="115"/>
        <v>0</v>
      </c>
      <c r="BK100" s="75">
        <f>R100-AO100</f>
        <v>72884540</v>
      </c>
      <c r="BL100" s="75">
        <f t="shared" si="116"/>
        <v>0</v>
      </c>
      <c r="BM100" s="75">
        <f t="shared" si="117"/>
        <v>0</v>
      </c>
      <c r="BN100" s="75"/>
      <c r="BO100" s="75">
        <f t="shared" si="145"/>
        <v>0</v>
      </c>
      <c r="BP100" s="75">
        <f t="shared" si="137"/>
        <v>0</v>
      </c>
      <c r="BQ100" s="75"/>
      <c r="BR100" s="75">
        <f t="shared" si="140"/>
        <v>0</v>
      </c>
      <c r="BS100" s="75">
        <f t="shared" si="141"/>
        <v>0</v>
      </c>
      <c r="BT100" s="75">
        <f t="shared" si="142"/>
        <v>0</v>
      </c>
      <c r="BU100" s="75">
        <f t="shared" si="146"/>
        <v>0</v>
      </c>
      <c r="BV100" s="75">
        <f t="shared" si="143"/>
        <v>0</v>
      </c>
      <c r="BW100" s="75">
        <f t="shared" si="144"/>
        <v>0</v>
      </c>
      <c r="BX100" s="75"/>
      <c r="BY100" s="75"/>
      <c r="BZ100" s="75">
        <f t="shared" si="119"/>
        <v>0</v>
      </c>
      <c r="CA100" s="25">
        <f t="shared" ref="CA100:CA103" si="149">+CB100/M100</f>
        <v>0.54586115681431147</v>
      </c>
      <c r="CB100" s="75">
        <f t="shared" si="121"/>
        <v>93970657</v>
      </c>
      <c r="CC100" s="75"/>
      <c r="CD100" s="75"/>
      <c r="CE100" s="75"/>
      <c r="CF100" s="75"/>
      <c r="CG100" s="75"/>
      <c r="CH100" s="75">
        <f>+'[1]AGOSTO 2015'!$H$3044+'[1]AGOSTO 2015'!$H$3050</f>
        <v>83970657</v>
      </c>
      <c r="CI100" s="75"/>
      <c r="CJ100" s="75"/>
      <c r="CK100" s="75"/>
      <c r="CL100" s="75"/>
      <c r="CM100" s="75"/>
      <c r="CN100" s="75"/>
      <c r="CO100" s="75"/>
      <c r="CP100" s="75"/>
      <c r="CQ100" s="75">
        <f>+'[6]JUNIO 2015'!$H$2333</f>
        <v>10000000</v>
      </c>
      <c r="CR100" s="75"/>
      <c r="CS100" s="75"/>
      <c r="CT100" s="75"/>
      <c r="CU100" s="75"/>
      <c r="CV100" s="75"/>
      <c r="CW100" s="25">
        <f t="shared" si="122"/>
        <v>0.45413884318568853</v>
      </c>
      <c r="CX100" s="75">
        <f t="shared" si="123"/>
        <v>78180550</v>
      </c>
      <c r="CY100" s="75"/>
      <c r="CZ100" s="75"/>
      <c r="DA100" s="75"/>
      <c r="DB100" s="75">
        <f t="shared" si="124"/>
        <v>0</v>
      </c>
      <c r="DC100" s="75">
        <f>R100-CG100</f>
        <v>72884540</v>
      </c>
      <c r="DD100" s="75">
        <f t="shared" si="125"/>
        <v>5296010</v>
      </c>
      <c r="DE100" s="75">
        <f t="shared" si="126"/>
        <v>0</v>
      </c>
      <c r="DF100" s="75"/>
      <c r="DG100" s="75">
        <f t="shared" si="127"/>
        <v>0</v>
      </c>
      <c r="DH100" s="75">
        <f t="shared" si="128"/>
        <v>0</v>
      </c>
      <c r="DI100" s="75"/>
      <c r="DJ100" s="75">
        <f t="shared" si="129"/>
        <v>0</v>
      </c>
      <c r="DK100" s="75">
        <f t="shared" si="130"/>
        <v>0</v>
      </c>
      <c r="DL100" s="75">
        <f t="shared" si="131"/>
        <v>0</v>
      </c>
      <c r="DM100" s="75">
        <f t="shared" si="132"/>
        <v>0</v>
      </c>
      <c r="DN100" s="75">
        <f t="shared" si="133"/>
        <v>0</v>
      </c>
      <c r="DO100" s="75">
        <f t="shared" si="134"/>
        <v>0</v>
      </c>
      <c r="DP100" s="75">
        <f t="shared" si="135"/>
        <v>0</v>
      </c>
      <c r="DQ100" s="75"/>
      <c r="DR100" s="75">
        <f t="shared" si="136"/>
        <v>0</v>
      </c>
    </row>
    <row r="101" spans="1:122" ht="33.75" customHeight="1" x14ac:dyDescent="0.25">
      <c r="A101" s="242"/>
      <c r="B101" s="114"/>
      <c r="C101" s="82" t="s">
        <v>216</v>
      </c>
      <c r="D101" s="81" t="s">
        <v>215</v>
      </c>
      <c r="E101" s="97">
        <v>520</v>
      </c>
      <c r="F101" s="78" t="s">
        <v>214</v>
      </c>
      <c r="G101" s="228"/>
      <c r="H101" s="79">
        <f t="shared" si="107"/>
        <v>110733333</v>
      </c>
      <c r="I101" s="79">
        <f t="shared" si="108"/>
        <v>0</v>
      </c>
      <c r="J101" s="78"/>
      <c r="K101" s="78"/>
      <c r="L101" s="78"/>
      <c r="M101" s="75">
        <f t="shared" si="109"/>
        <v>110733333</v>
      </c>
      <c r="N101" s="45"/>
      <c r="O101" s="45"/>
      <c r="P101" s="45"/>
      <c r="Q101" s="75">
        <f>70000000-70000000</f>
        <v>0</v>
      </c>
      <c r="R101" s="75"/>
      <c r="S101" s="75">
        <f>30000000+80733333</f>
        <v>110733333</v>
      </c>
      <c r="T101" s="45"/>
      <c r="U101" s="45"/>
      <c r="V101" s="45"/>
      <c r="W101" s="45"/>
      <c r="X101" s="45"/>
      <c r="Y101" s="24"/>
      <c r="Z101" s="45"/>
      <c r="AA101" s="45"/>
      <c r="AB101" s="75"/>
      <c r="AC101" s="75"/>
      <c r="AD101" s="75"/>
      <c r="AE101" s="75"/>
      <c r="AF101" s="75"/>
      <c r="AG101" s="75"/>
      <c r="AH101" s="113"/>
      <c r="AI101" s="25">
        <f t="shared" si="148"/>
        <v>1</v>
      </c>
      <c r="AJ101" s="75">
        <f t="shared" si="111"/>
        <v>110733333</v>
      </c>
      <c r="AK101" s="75"/>
      <c r="AL101" s="75"/>
      <c r="AM101" s="75"/>
      <c r="AN101" s="75">
        <f>+'[4]MARZO 2015'!$L$1529-70000000</f>
        <v>0</v>
      </c>
      <c r="AO101" s="75"/>
      <c r="AP101" s="75">
        <f>+'[4]MARZO 2015'!$N$1529</f>
        <v>110733333</v>
      </c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25">
        <f t="shared" si="147"/>
        <v>0</v>
      </c>
      <c r="BF101" s="75">
        <f t="shared" si="112"/>
        <v>0</v>
      </c>
      <c r="BG101" s="75">
        <f t="shared" si="113"/>
        <v>0</v>
      </c>
      <c r="BH101" s="75">
        <f t="shared" si="114"/>
        <v>0</v>
      </c>
      <c r="BI101" s="75"/>
      <c r="BJ101" s="75">
        <f t="shared" si="115"/>
        <v>0</v>
      </c>
      <c r="BK101" s="75"/>
      <c r="BL101" s="75">
        <f t="shared" si="116"/>
        <v>0</v>
      </c>
      <c r="BM101" s="75">
        <f t="shared" si="117"/>
        <v>0</v>
      </c>
      <c r="BN101" s="75"/>
      <c r="BO101" s="75">
        <f t="shared" si="145"/>
        <v>0</v>
      </c>
      <c r="BP101" s="75">
        <f t="shared" si="137"/>
        <v>0</v>
      </c>
      <c r="BQ101" s="75"/>
      <c r="BR101" s="75">
        <f t="shared" si="140"/>
        <v>0</v>
      </c>
      <c r="BS101" s="75">
        <f t="shared" si="141"/>
        <v>0</v>
      </c>
      <c r="BT101" s="75">
        <f t="shared" si="142"/>
        <v>0</v>
      </c>
      <c r="BU101" s="75">
        <f t="shared" si="146"/>
        <v>0</v>
      </c>
      <c r="BV101" s="75">
        <f t="shared" si="143"/>
        <v>0</v>
      </c>
      <c r="BW101" s="75">
        <f t="shared" si="144"/>
        <v>0</v>
      </c>
      <c r="BX101" s="75"/>
      <c r="BY101" s="75"/>
      <c r="BZ101" s="75">
        <f t="shared" si="119"/>
        <v>0</v>
      </c>
      <c r="CA101" s="25">
        <f t="shared" si="149"/>
        <v>1</v>
      </c>
      <c r="CB101" s="75">
        <f t="shared" si="121"/>
        <v>110733333</v>
      </c>
      <c r="CC101" s="75"/>
      <c r="CD101" s="75"/>
      <c r="CE101" s="75"/>
      <c r="CF101" s="75"/>
      <c r="CG101" s="75"/>
      <c r="CH101" s="75">
        <f>+'[2]JULIO 2015'!$H$2722</f>
        <v>110733333</v>
      </c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25">
        <f t="shared" si="122"/>
        <v>0</v>
      </c>
      <c r="CX101" s="75">
        <f t="shared" si="123"/>
        <v>0</v>
      </c>
      <c r="CY101" s="75"/>
      <c r="CZ101" s="75"/>
      <c r="DA101" s="75"/>
      <c r="DB101" s="75">
        <f t="shared" si="124"/>
        <v>0</v>
      </c>
      <c r="DC101" s="75"/>
      <c r="DD101" s="75">
        <f t="shared" si="125"/>
        <v>0</v>
      </c>
      <c r="DE101" s="75">
        <f t="shared" si="126"/>
        <v>0</v>
      </c>
      <c r="DF101" s="75"/>
      <c r="DG101" s="75">
        <f t="shared" si="127"/>
        <v>0</v>
      </c>
      <c r="DH101" s="75">
        <f t="shared" si="128"/>
        <v>0</v>
      </c>
      <c r="DI101" s="75"/>
      <c r="DJ101" s="75">
        <f t="shared" si="129"/>
        <v>0</v>
      </c>
      <c r="DK101" s="75">
        <f t="shared" si="130"/>
        <v>0</v>
      </c>
      <c r="DL101" s="75">
        <f t="shared" si="131"/>
        <v>0</v>
      </c>
      <c r="DM101" s="75">
        <f t="shared" si="132"/>
        <v>0</v>
      </c>
      <c r="DN101" s="75">
        <f t="shared" si="133"/>
        <v>0</v>
      </c>
      <c r="DO101" s="75">
        <f t="shared" si="134"/>
        <v>0</v>
      </c>
      <c r="DP101" s="75">
        <f t="shared" si="135"/>
        <v>0</v>
      </c>
      <c r="DQ101" s="75"/>
      <c r="DR101" s="75">
        <f t="shared" si="136"/>
        <v>0</v>
      </c>
    </row>
    <row r="102" spans="1:122" ht="45.75" customHeight="1" x14ac:dyDescent="0.25">
      <c r="A102" s="242"/>
      <c r="B102" s="114"/>
      <c r="C102" s="82" t="s">
        <v>213</v>
      </c>
      <c r="D102" s="81" t="s">
        <v>212</v>
      </c>
      <c r="E102" s="97">
        <v>520</v>
      </c>
      <c r="F102" s="78" t="s">
        <v>211</v>
      </c>
      <c r="G102" s="229"/>
      <c r="H102" s="79">
        <f t="shared" si="107"/>
        <v>8000000</v>
      </c>
      <c r="I102" s="79">
        <f t="shared" si="108"/>
        <v>27579091</v>
      </c>
      <c r="J102" s="78"/>
      <c r="K102" s="78"/>
      <c r="L102" s="78"/>
      <c r="M102" s="75">
        <f t="shared" si="109"/>
        <v>35579091</v>
      </c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24"/>
      <c r="Z102" s="45"/>
      <c r="AA102" s="45"/>
      <c r="AB102" s="75"/>
      <c r="AC102" s="75"/>
      <c r="AD102" s="75"/>
      <c r="AE102" s="75"/>
      <c r="AF102" s="75"/>
      <c r="AG102" s="75">
        <f>3000000+8000000+20123209+4455882</f>
        <v>35579091</v>
      </c>
      <c r="AH102" s="113"/>
      <c r="AI102" s="25">
        <f t="shared" si="148"/>
        <v>0.77514883671423762</v>
      </c>
      <c r="AJ102" s="75">
        <f t="shared" si="111"/>
        <v>27579091</v>
      </c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>
        <f>+'[2]JULIO 2015'!$AD$2743</f>
        <v>27579091</v>
      </c>
      <c r="BE102" s="25">
        <f t="shared" si="147"/>
        <v>0.22485116328576238</v>
      </c>
      <c r="BF102" s="75">
        <f t="shared" si="112"/>
        <v>8000000</v>
      </c>
      <c r="BG102" s="75">
        <f t="shared" si="113"/>
        <v>0</v>
      </c>
      <c r="BH102" s="75">
        <f t="shared" si="114"/>
        <v>0</v>
      </c>
      <c r="BI102" s="75"/>
      <c r="BJ102" s="75">
        <f t="shared" si="115"/>
        <v>0</v>
      </c>
      <c r="BK102" s="75"/>
      <c r="BL102" s="75">
        <f t="shared" si="116"/>
        <v>0</v>
      </c>
      <c r="BM102" s="75">
        <f t="shared" si="117"/>
        <v>0</v>
      </c>
      <c r="BN102" s="75"/>
      <c r="BO102" s="75">
        <f t="shared" si="145"/>
        <v>0</v>
      </c>
      <c r="BP102" s="75">
        <f t="shared" si="137"/>
        <v>0</v>
      </c>
      <c r="BQ102" s="75"/>
      <c r="BR102" s="75">
        <f t="shared" si="140"/>
        <v>0</v>
      </c>
      <c r="BS102" s="75">
        <f t="shared" si="141"/>
        <v>0</v>
      </c>
      <c r="BT102" s="75">
        <f t="shared" si="142"/>
        <v>0</v>
      </c>
      <c r="BU102" s="75">
        <f t="shared" si="146"/>
        <v>0</v>
      </c>
      <c r="BV102" s="75">
        <f t="shared" si="143"/>
        <v>0</v>
      </c>
      <c r="BW102" s="75">
        <f t="shared" si="144"/>
        <v>0</v>
      </c>
      <c r="BX102" s="75"/>
      <c r="BY102" s="75"/>
      <c r="BZ102" s="75">
        <f t="shared" si="119"/>
        <v>8000000</v>
      </c>
      <c r="CA102" s="25">
        <f t="shared" si="149"/>
        <v>0.22485116328576241</v>
      </c>
      <c r="CB102" s="75">
        <f t="shared" si="121"/>
        <v>8000000</v>
      </c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>
        <f>+'[3]ABRIL 2015'!$H$1822</f>
        <v>8000000</v>
      </c>
      <c r="CW102" s="25">
        <f t="shared" si="122"/>
        <v>0.77514883671423762</v>
      </c>
      <c r="CX102" s="75">
        <f t="shared" si="123"/>
        <v>27579091</v>
      </c>
      <c r="CY102" s="75"/>
      <c r="CZ102" s="75"/>
      <c r="DA102" s="75"/>
      <c r="DB102" s="75">
        <f t="shared" si="124"/>
        <v>0</v>
      </c>
      <c r="DC102" s="75"/>
      <c r="DD102" s="75">
        <f t="shared" si="125"/>
        <v>0</v>
      </c>
      <c r="DE102" s="75">
        <f t="shared" si="126"/>
        <v>0</v>
      </c>
      <c r="DF102" s="75"/>
      <c r="DG102" s="75">
        <f t="shared" si="127"/>
        <v>0</v>
      </c>
      <c r="DH102" s="75">
        <f t="shared" si="128"/>
        <v>0</v>
      </c>
      <c r="DI102" s="75"/>
      <c r="DJ102" s="75">
        <f t="shared" si="129"/>
        <v>0</v>
      </c>
      <c r="DK102" s="75">
        <f t="shared" si="130"/>
        <v>0</v>
      </c>
      <c r="DL102" s="75">
        <f t="shared" si="131"/>
        <v>0</v>
      </c>
      <c r="DM102" s="75">
        <f t="shared" si="132"/>
        <v>0</v>
      </c>
      <c r="DN102" s="75">
        <f t="shared" si="133"/>
        <v>0</v>
      </c>
      <c r="DO102" s="75">
        <f t="shared" si="134"/>
        <v>0</v>
      </c>
      <c r="DP102" s="75">
        <f t="shared" si="135"/>
        <v>0</v>
      </c>
      <c r="DQ102" s="75"/>
      <c r="DR102" s="75">
        <f t="shared" si="136"/>
        <v>27579091</v>
      </c>
    </row>
    <row r="103" spans="1:122" s="68" customFormat="1" ht="21" customHeight="1" thickBot="1" x14ac:dyDescent="0.3">
      <c r="A103" s="112"/>
      <c r="B103" s="255" t="s">
        <v>210</v>
      </c>
      <c r="C103" s="256"/>
      <c r="D103" s="256"/>
      <c r="E103" s="256"/>
      <c r="F103" s="257"/>
      <c r="G103" s="69">
        <f>SUM(G68:G102)</f>
        <v>2832000000</v>
      </c>
      <c r="H103" s="69">
        <f>SUM(H68:H102)</f>
        <v>1638726933</v>
      </c>
      <c r="I103" s="69">
        <f>SUM(I68:I102)</f>
        <v>1319780820</v>
      </c>
      <c r="J103" s="111"/>
      <c r="K103" s="111"/>
      <c r="L103" s="111"/>
      <c r="M103" s="69">
        <f t="shared" ref="M103:AG103" si="150">SUM(M68:M102)</f>
        <v>2958507753</v>
      </c>
      <c r="N103" s="69">
        <f t="shared" si="150"/>
        <v>0</v>
      </c>
      <c r="O103" s="69">
        <f t="shared" si="150"/>
        <v>0</v>
      </c>
      <c r="P103" s="69">
        <f t="shared" si="150"/>
        <v>0</v>
      </c>
      <c r="Q103" s="69">
        <f t="shared" si="150"/>
        <v>50000000</v>
      </c>
      <c r="R103" s="69">
        <f t="shared" si="150"/>
        <v>72884540</v>
      </c>
      <c r="S103" s="69">
        <f t="shared" si="150"/>
        <v>660000000</v>
      </c>
      <c r="T103" s="69">
        <f t="shared" si="150"/>
        <v>923014856</v>
      </c>
      <c r="U103" s="69">
        <f t="shared" si="150"/>
        <v>0</v>
      </c>
      <c r="V103" s="69">
        <f t="shared" si="150"/>
        <v>0</v>
      </c>
      <c r="W103" s="69">
        <f t="shared" si="150"/>
        <v>0</v>
      </c>
      <c r="X103" s="69">
        <f t="shared" si="150"/>
        <v>0</v>
      </c>
      <c r="Y103" s="69">
        <f t="shared" si="150"/>
        <v>0</v>
      </c>
      <c r="Z103" s="69">
        <f t="shared" si="150"/>
        <v>610864435</v>
      </c>
      <c r="AA103" s="69">
        <f t="shared" si="150"/>
        <v>0</v>
      </c>
      <c r="AB103" s="69">
        <f t="shared" si="150"/>
        <v>50000000</v>
      </c>
      <c r="AC103" s="69">
        <f t="shared" si="150"/>
        <v>0</v>
      </c>
      <c r="AD103" s="69">
        <f t="shared" si="150"/>
        <v>0</v>
      </c>
      <c r="AE103" s="69">
        <f t="shared" si="150"/>
        <v>0</v>
      </c>
      <c r="AF103" s="69">
        <f t="shared" si="150"/>
        <v>0</v>
      </c>
      <c r="AG103" s="69">
        <f t="shared" si="150"/>
        <v>591743922</v>
      </c>
      <c r="AI103" s="70">
        <f t="shared" si="148"/>
        <v>0.81371961271990623</v>
      </c>
      <c r="AJ103" s="69">
        <f>SUM(AJ68:AJ102)</f>
        <v>2407395783</v>
      </c>
      <c r="AK103" s="69">
        <f>SUM(AK68:AK102)</f>
        <v>0</v>
      </c>
      <c r="AL103" s="69">
        <f>SUM(AL68:AL102)</f>
        <v>0</v>
      </c>
      <c r="AM103" s="69"/>
      <c r="AN103" s="69">
        <f>SUM(AN68:AN102)</f>
        <v>50000000</v>
      </c>
      <c r="AO103" s="69"/>
      <c r="AP103" s="69">
        <f t="shared" ref="AP103:BD103" si="151">SUM(AP68:AP102)</f>
        <v>649180877</v>
      </c>
      <c r="AQ103" s="69">
        <f t="shared" si="151"/>
        <v>898014856</v>
      </c>
      <c r="AR103" s="69">
        <f t="shared" si="151"/>
        <v>0</v>
      </c>
      <c r="AS103" s="69">
        <f t="shared" si="151"/>
        <v>0</v>
      </c>
      <c r="AT103" s="69">
        <f t="shared" si="151"/>
        <v>0</v>
      </c>
      <c r="AU103" s="69">
        <f t="shared" si="151"/>
        <v>0</v>
      </c>
      <c r="AV103" s="69">
        <f t="shared" si="151"/>
        <v>0</v>
      </c>
      <c r="AW103" s="69">
        <f t="shared" si="151"/>
        <v>221128226</v>
      </c>
      <c r="AX103" s="69">
        <f t="shared" si="151"/>
        <v>0</v>
      </c>
      <c r="AY103" s="69">
        <f t="shared" si="151"/>
        <v>50000000</v>
      </c>
      <c r="AZ103" s="69">
        <f t="shared" si="151"/>
        <v>0</v>
      </c>
      <c r="BA103" s="69">
        <f t="shared" si="151"/>
        <v>0</v>
      </c>
      <c r="BB103" s="69">
        <f t="shared" si="151"/>
        <v>0</v>
      </c>
      <c r="BC103" s="69">
        <f t="shared" si="151"/>
        <v>0</v>
      </c>
      <c r="BD103" s="69">
        <f t="shared" si="151"/>
        <v>539071824</v>
      </c>
      <c r="BE103" s="70">
        <f t="shared" si="147"/>
        <v>0.18628038728009377</v>
      </c>
      <c r="BF103" s="69">
        <f t="shared" ref="BF103:BZ103" si="152">SUM(BF68:BF102)</f>
        <v>551111970</v>
      </c>
      <c r="BG103" s="69">
        <f t="shared" si="152"/>
        <v>0</v>
      </c>
      <c r="BH103" s="69">
        <f t="shared" si="152"/>
        <v>0</v>
      </c>
      <c r="BI103" s="69">
        <f t="shared" si="152"/>
        <v>0</v>
      </c>
      <c r="BJ103" s="69">
        <f t="shared" si="152"/>
        <v>0</v>
      </c>
      <c r="BK103" s="69">
        <f t="shared" si="152"/>
        <v>72884540</v>
      </c>
      <c r="BL103" s="69">
        <f t="shared" si="152"/>
        <v>10819123</v>
      </c>
      <c r="BM103" s="69">
        <f t="shared" si="152"/>
        <v>25000000</v>
      </c>
      <c r="BN103" s="69">
        <f t="shared" si="152"/>
        <v>0</v>
      </c>
      <c r="BO103" s="69">
        <f t="shared" si="152"/>
        <v>0</v>
      </c>
      <c r="BP103" s="69">
        <f t="shared" si="152"/>
        <v>0</v>
      </c>
      <c r="BQ103" s="69">
        <f t="shared" si="152"/>
        <v>0</v>
      </c>
      <c r="BR103" s="69">
        <f t="shared" si="152"/>
        <v>0</v>
      </c>
      <c r="BS103" s="69">
        <f t="shared" si="152"/>
        <v>389736209</v>
      </c>
      <c r="BT103" s="69">
        <f t="shared" si="152"/>
        <v>0</v>
      </c>
      <c r="BU103" s="69">
        <f t="shared" si="152"/>
        <v>0</v>
      </c>
      <c r="BV103" s="69">
        <f t="shared" si="152"/>
        <v>0</v>
      </c>
      <c r="BW103" s="69">
        <f t="shared" si="152"/>
        <v>0</v>
      </c>
      <c r="BX103" s="69">
        <f t="shared" si="152"/>
        <v>0</v>
      </c>
      <c r="BY103" s="69">
        <f t="shared" si="152"/>
        <v>0</v>
      </c>
      <c r="BZ103" s="69">
        <f t="shared" si="152"/>
        <v>52672098</v>
      </c>
      <c r="CA103" s="70">
        <f t="shared" si="149"/>
        <v>0.55390320722948605</v>
      </c>
      <c r="CB103" s="69">
        <f>SUM(CB68:CB102)</f>
        <v>1638726933</v>
      </c>
      <c r="CC103" s="69">
        <f>SUM(CC68:CC102)</f>
        <v>0</v>
      </c>
      <c r="CD103" s="69">
        <f>SUM(CD68:CD102)</f>
        <v>0</v>
      </c>
      <c r="CE103" s="69"/>
      <c r="CF103" s="69">
        <f>SUM(CF68:CF102)</f>
        <v>40000000</v>
      </c>
      <c r="CG103" s="69"/>
      <c r="CH103" s="69">
        <f>SUM(CH68:CH102)</f>
        <v>478813038</v>
      </c>
      <c r="CI103" s="69">
        <f>SUM(CI68:CI102)</f>
        <v>545087024</v>
      </c>
      <c r="CJ103" s="69"/>
      <c r="CK103" s="69">
        <f t="shared" ref="CK103:CV103" si="153">SUM(CK68:CK102)</f>
        <v>0</v>
      </c>
      <c r="CL103" s="69">
        <f t="shared" si="153"/>
        <v>0</v>
      </c>
      <c r="CM103" s="69">
        <f t="shared" si="153"/>
        <v>0</v>
      </c>
      <c r="CN103" s="69">
        <f t="shared" si="153"/>
        <v>0</v>
      </c>
      <c r="CO103" s="69">
        <f t="shared" si="153"/>
        <v>104600638</v>
      </c>
      <c r="CP103" s="69">
        <f t="shared" si="153"/>
        <v>0</v>
      </c>
      <c r="CQ103" s="69">
        <f t="shared" si="153"/>
        <v>23814210</v>
      </c>
      <c r="CR103" s="69">
        <f t="shared" si="153"/>
        <v>0</v>
      </c>
      <c r="CS103" s="69">
        <f t="shared" si="153"/>
        <v>0</v>
      </c>
      <c r="CT103" s="69">
        <f t="shared" si="153"/>
        <v>0</v>
      </c>
      <c r="CU103" s="69">
        <f t="shared" si="153"/>
        <v>0</v>
      </c>
      <c r="CV103" s="69">
        <f t="shared" si="153"/>
        <v>446412023</v>
      </c>
      <c r="CW103" s="70">
        <f t="shared" si="122"/>
        <v>0.44609679277051395</v>
      </c>
      <c r="CX103" s="69">
        <f>SUM(CX68:CX102)</f>
        <v>1319780820</v>
      </c>
      <c r="CY103" s="69">
        <f>SUM(CY68:CY102)</f>
        <v>0</v>
      </c>
      <c r="CZ103" s="69">
        <f>SUM(CZ68:CZ102)</f>
        <v>0</v>
      </c>
      <c r="DA103" s="69"/>
      <c r="DB103" s="69">
        <f t="shared" ref="DB103:DR103" si="154">SUM(DB68:DB102)</f>
        <v>10000000</v>
      </c>
      <c r="DC103" s="69">
        <f t="shared" si="154"/>
        <v>72884540</v>
      </c>
      <c r="DD103" s="69">
        <f t="shared" si="154"/>
        <v>181186962</v>
      </c>
      <c r="DE103" s="69">
        <f t="shared" si="154"/>
        <v>377927832</v>
      </c>
      <c r="DF103" s="69">
        <f t="shared" si="154"/>
        <v>0</v>
      </c>
      <c r="DG103" s="69">
        <f t="shared" si="154"/>
        <v>0</v>
      </c>
      <c r="DH103" s="69">
        <f t="shared" si="154"/>
        <v>0</v>
      </c>
      <c r="DI103" s="69">
        <f t="shared" si="154"/>
        <v>0</v>
      </c>
      <c r="DJ103" s="69">
        <f t="shared" si="154"/>
        <v>0</v>
      </c>
      <c r="DK103" s="69">
        <f t="shared" si="154"/>
        <v>506263797</v>
      </c>
      <c r="DL103" s="69">
        <f t="shared" si="154"/>
        <v>0</v>
      </c>
      <c r="DM103" s="69">
        <f t="shared" si="154"/>
        <v>26185790</v>
      </c>
      <c r="DN103" s="69">
        <f t="shared" si="154"/>
        <v>0</v>
      </c>
      <c r="DO103" s="69">
        <f t="shared" si="154"/>
        <v>0</v>
      </c>
      <c r="DP103" s="69">
        <f t="shared" si="154"/>
        <v>0</v>
      </c>
      <c r="DQ103" s="69">
        <f t="shared" si="154"/>
        <v>0</v>
      </c>
      <c r="DR103" s="110">
        <f t="shared" si="154"/>
        <v>145331899</v>
      </c>
    </row>
    <row r="104" spans="1:122" ht="10.5" customHeight="1" thickTop="1" x14ac:dyDescent="0.25">
      <c r="B104" s="109"/>
      <c r="C104" s="108"/>
      <c r="D104" s="107"/>
      <c r="E104" s="106"/>
      <c r="F104" s="105"/>
      <c r="G104" s="105"/>
      <c r="H104" s="105"/>
      <c r="I104" s="105"/>
      <c r="J104" s="105"/>
      <c r="K104" s="105"/>
      <c r="L104" s="105"/>
      <c r="M104" s="104"/>
      <c r="N104" s="104"/>
      <c r="O104" s="104"/>
      <c r="P104" s="104"/>
      <c r="Q104" s="104"/>
      <c r="R104" s="104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89"/>
      <c r="AI104" s="102"/>
      <c r="AJ104" s="99"/>
      <c r="AK104" s="99"/>
      <c r="AL104" s="99"/>
      <c r="AM104" s="99"/>
      <c r="AN104" s="99"/>
      <c r="AO104" s="99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0"/>
      <c r="BF104" s="99"/>
      <c r="BG104" s="99"/>
      <c r="BH104" s="99"/>
      <c r="BI104" s="99"/>
      <c r="BJ104" s="99"/>
      <c r="BK104" s="99"/>
      <c r="BL104" s="98"/>
      <c r="BM104" s="98"/>
      <c r="BN104" s="98"/>
      <c r="BO104" s="98"/>
      <c r="BP104" s="98"/>
      <c r="BQ104" s="98"/>
      <c r="BR104" s="98"/>
      <c r="BS104" s="98"/>
      <c r="BT104" s="98"/>
      <c r="BU104" s="98"/>
      <c r="BV104" s="98"/>
      <c r="BW104" s="98"/>
      <c r="BX104" s="98"/>
      <c r="BY104" s="98"/>
      <c r="BZ104" s="98"/>
      <c r="CA104" s="100"/>
      <c r="CB104" s="99"/>
      <c r="CC104" s="99"/>
      <c r="CD104" s="99"/>
      <c r="CE104" s="99"/>
      <c r="CF104" s="99"/>
      <c r="CG104" s="99"/>
      <c r="CH104" s="101"/>
      <c r="CI104" s="101"/>
      <c r="CJ104" s="101"/>
      <c r="CK104" s="101"/>
      <c r="CL104" s="101"/>
      <c r="CM104" s="101"/>
      <c r="CN104" s="101"/>
      <c r="CO104" s="101"/>
      <c r="CP104" s="101"/>
      <c r="CQ104" s="101"/>
      <c r="CR104" s="101"/>
      <c r="CS104" s="101"/>
      <c r="CT104" s="101"/>
      <c r="CU104" s="101"/>
      <c r="CV104" s="101"/>
      <c r="CW104" s="100"/>
      <c r="CX104" s="99"/>
      <c r="CY104" s="99"/>
      <c r="CZ104" s="99"/>
      <c r="DA104" s="99"/>
      <c r="DB104" s="99"/>
      <c r="DC104" s="99"/>
      <c r="DD104" s="98"/>
      <c r="DE104" s="98"/>
      <c r="DF104" s="98"/>
      <c r="DG104" s="98"/>
      <c r="DH104" s="98"/>
      <c r="DI104" s="98"/>
      <c r="DJ104" s="98"/>
      <c r="DK104" s="98"/>
      <c r="DL104" s="98"/>
      <c r="DM104" s="98"/>
      <c r="DN104" s="98"/>
      <c r="DO104" s="98"/>
      <c r="DP104" s="98"/>
      <c r="DQ104" s="98"/>
      <c r="DR104" s="98"/>
    </row>
    <row r="105" spans="1:122" s="68" customFormat="1" ht="27.75" customHeight="1" x14ac:dyDescent="0.25">
      <c r="A105" s="258" t="s">
        <v>2</v>
      </c>
      <c r="B105" s="81" t="s">
        <v>209</v>
      </c>
      <c r="C105" s="82" t="s">
        <v>208</v>
      </c>
      <c r="D105" s="81" t="s">
        <v>207</v>
      </c>
      <c r="E105" s="97">
        <v>301</v>
      </c>
      <c r="F105" s="78" t="s">
        <v>166</v>
      </c>
      <c r="G105" s="227">
        <v>325000000</v>
      </c>
      <c r="H105" s="79">
        <f t="shared" ref="H105:H120" si="155">+CB105</f>
        <v>34078248</v>
      </c>
      <c r="I105" s="79">
        <f t="shared" ref="I105:I120" si="156">M105-H105</f>
        <v>41921752</v>
      </c>
      <c r="J105" s="78"/>
      <c r="K105" s="78"/>
      <c r="L105" s="78"/>
      <c r="M105" s="75">
        <f t="shared" ref="M105:M120" si="157">SUM(N105:AG105)</f>
        <v>76000000</v>
      </c>
      <c r="N105" s="75"/>
      <c r="O105" s="75">
        <f>6985144-6985144</f>
        <v>0</v>
      </c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>
        <v>6985144</v>
      </c>
      <c r="AD105" s="75">
        <v>69014856</v>
      </c>
      <c r="AE105" s="75"/>
      <c r="AF105" s="75"/>
      <c r="AG105" s="75"/>
      <c r="AI105" s="25">
        <f t="shared" ref="AI105:AI136" si="158">+AJ105/M105</f>
        <v>0.90809021052631578</v>
      </c>
      <c r="AJ105" s="75">
        <f t="shared" ref="AJ105:AJ120" si="159">SUM(AK105:BD105)</f>
        <v>69014856</v>
      </c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>
        <f>+'[9]ENERO 2015'!$W$295</f>
        <v>69014856</v>
      </c>
      <c r="BB105" s="75"/>
      <c r="BC105" s="75"/>
      <c r="BD105" s="75"/>
      <c r="BE105" s="25">
        <f t="shared" ref="BE105:BE136" si="160">1-AI105</f>
        <v>9.1909789473684222E-2</v>
      </c>
      <c r="BF105" s="75">
        <f t="shared" ref="BF105:BF120" si="161">SUM(BG105:BZ105)</f>
        <v>6985144</v>
      </c>
      <c r="BG105" s="75">
        <f t="shared" ref="BG105:BG112" si="162">+N105-AK105</f>
        <v>0</v>
      </c>
      <c r="BH105" s="75">
        <f t="shared" ref="BH105:BH112" si="163">O105-AL105</f>
        <v>0</v>
      </c>
      <c r="BI105" s="75"/>
      <c r="BJ105" s="75">
        <f t="shared" ref="BJ105:BJ112" si="164">Q105-AN105</f>
        <v>0</v>
      </c>
      <c r="BK105" s="75"/>
      <c r="BL105" s="75">
        <f t="shared" ref="BL105:BM110" si="165">+S105-AP105</f>
        <v>0</v>
      </c>
      <c r="BM105" s="75">
        <f t="shared" si="165"/>
        <v>0</v>
      </c>
      <c r="BN105" s="75"/>
      <c r="BO105" s="75"/>
      <c r="BP105" s="75"/>
      <c r="BQ105" s="75"/>
      <c r="BR105" s="75">
        <f t="shared" ref="BR105:BW110" si="166">+Y105-AV105</f>
        <v>0</v>
      </c>
      <c r="BS105" s="75">
        <f t="shared" si="166"/>
        <v>0</v>
      </c>
      <c r="BT105" s="75">
        <f t="shared" si="166"/>
        <v>0</v>
      </c>
      <c r="BU105" s="75">
        <f t="shared" si="166"/>
        <v>0</v>
      </c>
      <c r="BV105" s="75">
        <f t="shared" si="166"/>
        <v>6985144</v>
      </c>
      <c r="BW105" s="75">
        <f t="shared" si="166"/>
        <v>0</v>
      </c>
      <c r="BX105" s="75"/>
      <c r="BY105" s="75"/>
      <c r="BZ105" s="75">
        <f t="shared" ref="BZ105:BZ112" si="167">+AG105-BD105</f>
        <v>0</v>
      </c>
      <c r="CA105" s="25">
        <f t="shared" ref="CA105:CA136" si="168">+CB105/M105</f>
        <v>0.44839800000000002</v>
      </c>
      <c r="CB105" s="75">
        <f t="shared" ref="CB105:CB120" si="169">SUM(CC105:CV105)</f>
        <v>34078248</v>
      </c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>
        <f>+'[1]AGOSTO 2015'!$H$820</f>
        <v>34078248</v>
      </c>
      <c r="CT105" s="75"/>
      <c r="CU105" s="75"/>
      <c r="CV105" s="75"/>
      <c r="CW105" s="25">
        <f t="shared" ref="CW105:CW136" si="170">1-CA105</f>
        <v>0.55160199999999993</v>
      </c>
      <c r="CX105" s="75">
        <f t="shared" ref="CX105:CX120" si="171">SUM(CY105:DR105)</f>
        <v>41921752</v>
      </c>
      <c r="CY105" s="75">
        <f>N105-CC105</f>
        <v>0</v>
      </c>
      <c r="CZ105" s="75">
        <f>O105-CD105</f>
        <v>0</v>
      </c>
      <c r="DA105" s="75">
        <f>P105-CE105</f>
        <v>0</v>
      </c>
      <c r="DB105" s="75">
        <f>Q105-CF105</f>
        <v>0</v>
      </c>
      <c r="DC105" s="75"/>
      <c r="DD105" s="75">
        <f t="shared" ref="DD105:DE110" si="172">S105-CH105</f>
        <v>0</v>
      </c>
      <c r="DE105" s="75">
        <f t="shared" si="172"/>
        <v>0</v>
      </c>
      <c r="DF105" s="75"/>
      <c r="DG105" s="75">
        <f t="shared" ref="DG105:DH110" si="173">+V105-CK105</f>
        <v>0</v>
      </c>
      <c r="DH105" s="75">
        <f t="shared" si="173"/>
        <v>0</v>
      </c>
      <c r="DI105" s="75"/>
      <c r="DJ105" s="75">
        <f t="shared" ref="DJ105:DL110" si="174">Y105-CN105</f>
        <v>0</v>
      </c>
      <c r="DK105" s="75">
        <f t="shared" si="174"/>
        <v>0</v>
      </c>
      <c r="DL105" s="75">
        <f t="shared" si="174"/>
        <v>0</v>
      </c>
      <c r="DM105" s="75">
        <f t="shared" ref="DM105:DP110" si="175">+AB105-CQ105</f>
        <v>0</v>
      </c>
      <c r="DN105" s="75">
        <f t="shared" si="175"/>
        <v>6985144</v>
      </c>
      <c r="DO105" s="75">
        <f t="shared" si="175"/>
        <v>34936608</v>
      </c>
      <c r="DP105" s="75">
        <f t="shared" si="175"/>
        <v>0</v>
      </c>
      <c r="DQ105" s="75"/>
      <c r="DR105" s="75">
        <f t="shared" ref="DR105:DR112" si="176">+AG105-CV105</f>
        <v>0</v>
      </c>
    </row>
    <row r="106" spans="1:122" s="68" customFormat="1" ht="22.5" customHeight="1" x14ac:dyDescent="0.25">
      <c r="A106" s="258"/>
      <c r="B106" s="81"/>
      <c r="C106" s="82" t="s">
        <v>206</v>
      </c>
      <c r="D106" s="81" t="s">
        <v>205</v>
      </c>
      <c r="E106" s="97">
        <v>301</v>
      </c>
      <c r="F106" s="78" t="s">
        <v>166</v>
      </c>
      <c r="G106" s="228"/>
      <c r="H106" s="79">
        <f t="shared" si="155"/>
        <v>31238612</v>
      </c>
      <c r="I106" s="79">
        <f t="shared" si="156"/>
        <v>23761388</v>
      </c>
      <c r="J106" s="78"/>
      <c r="K106" s="78"/>
      <c r="L106" s="78"/>
      <c r="M106" s="75">
        <f t="shared" si="157"/>
        <v>55000000</v>
      </c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>
        <v>55000000</v>
      </c>
      <c r="AE106" s="75"/>
      <c r="AF106" s="75"/>
      <c r="AG106" s="75"/>
      <c r="AI106" s="25">
        <f t="shared" si="158"/>
        <v>1</v>
      </c>
      <c r="AJ106" s="75">
        <f t="shared" si="159"/>
        <v>55000000</v>
      </c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>
        <f>+'[9]ENERO 2015'!$W$301</f>
        <v>55000000</v>
      </c>
      <c r="BB106" s="75"/>
      <c r="BC106" s="75"/>
      <c r="BD106" s="75"/>
      <c r="BE106" s="25">
        <f t="shared" si="160"/>
        <v>0</v>
      </c>
      <c r="BF106" s="75">
        <f t="shared" si="161"/>
        <v>0</v>
      </c>
      <c r="BG106" s="75">
        <f t="shared" si="162"/>
        <v>0</v>
      </c>
      <c r="BH106" s="75">
        <f t="shared" si="163"/>
        <v>0</v>
      </c>
      <c r="BI106" s="75"/>
      <c r="BJ106" s="75">
        <f t="shared" si="164"/>
        <v>0</v>
      </c>
      <c r="BK106" s="75"/>
      <c r="BL106" s="75">
        <f t="shared" si="165"/>
        <v>0</v>
      </c>
      <c r="BM106" s="75">
        <f t="shared" si="165"/>
        <v>0</v>
      </c>
      <c r="BN106" s="75"/>
      <c r="BO106" s="75"/>
      <c r="BP106" s="75"/>
      <c r="BQ106" s="75"/>
      <c r="BR106" s="75">
        <f t="shared" si="166"/>
        <v>0</v>
      </c>
      <c r="BS106" s="75">
        <f t="shared" si="166"/>
        <v>0</v>
      </c>
      <c r="BT106" s="75">
        <f t="shared" si="166"/>
        <v>0</v>
      </c>
      <c r="BU106" s="75">
        <f t="shared" si="166"/>
        <v>0</v>
      </c>
      <c r="BV106" s="75">
        <f t="shared" si="166"/>
        <v>0</v>
      </c>
      <c r="BW106" s="75">
        <f t="shared" si="166"/>
        <v>0</v>
      </c>
      <c r="BX106" s="75"/>
      <c r="BY106" s="75"/>
      <c r="BZ106" s="75">
        <f t="shared" si="167"/>
        <v>0</v>
      </c>
      <c r="CA106" s="25">
        <f t="shared" si="168"/>
        <v>0.56797476363636368</v>
      </c>
      <c r="CB106" s="75">
        <f t="shared" si="169"/>
        <v>31238612</v>
      </c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>
        <f>+'[1]AGOSTO 2015'!$H$838</f>
        <v>31238612</v>
      </c>
      <c r="CT106" s="75"/>
      <c r="CU106" s="75"/>
      <c r="CV106" s="75"/>
      <c r="CW106" s="25">
        <f t="shared" si="170"/>
        <v>0.43202523636363632</v>
      </c>
      <c r="CX106" s="75">
        <f t="shared" si="171"/>
        <v>23761388</v>
      </c>
      <c r="CY106" s="75">
        <f t="shared" ref="CY106:CY112" si="177">N106-CC106</f>
        <v>0</v>
      </c>
      <c r="CZ106" s="75"/>
      <c r="DA106" s="75"/>
      <c r="DB106" s="75">
        <f>Q106-CF106</f>
        <v>0</v>
      </c>
      <c r="DC106" s="75"/>
      <c r="DD106" s="75">
        <f t="shared" si="172"/>
        <v>0</v>
      </c>
      <c r="DE106" s="75">
        <f t="shared" si="172"/>
        <v>0</v>
      </c>
      <c r="DF106" s="75"/>
      <c r="DG106" s="75">
        <f t="shared" si="173"/>
        <v>0</v>
      </c>
      <c r="DH106" s="75">
        <f t="shared" si="173"/>
        <v>0</v>
      </c>
      <c r="DI106" s="75"/>
      <c r="DJ106" s="75">
        <f t="shared" si="174"/>
        <v>0</v>
      </c>
      <c r="DK106" s="75">
        <f t="shared" si="174"/>
        <v>0</v>
      </c>
      <c r="DL106" s="75">
        <f t="shared" si="174"/>
        <v>0</v>
      </c>
      <c r="DM106" s="75">
        <f t="shared" si="175"/>
        <v>0</v>
      </c>
      <c r="DN106" s="75">
        <f t="shared" si="175"/>
        <v>0</v>
      </c>
      <c r="DO106" s="75">
        <f t="shared" si="175"/>
        <v>23761388</v>
      </c>
      <c r="DP106" s="75">
        <f t="shared" si="175"/>
        <v>0</v>
      </c>
      <c r="DQ106" s="75"/>
      <c r="DR106" s="75">
        <f t="shared" si="176"/>
        <v>0</v>
      </c>
    </row>
    <row r="107" spans="1:122" s="68" customFormat="1" ht="23.25" customHeight="1" x14ac:dyDescent="0.25">
      <c r="A107" s="258"/>
      <c r="B107" s="81"/>
      <c r="C107" s="82" t="s">
        <v>204</v>
      </c>
      <c r="D107" s="81" t="s">
        <v>203</v>
      </c>
      <c r="E107" s="97">
        <v>301</v>
      </c>
      <c r="F107" s="78" t="s">
        <v>166</v>
      </c>
      <c r="G107" s="228"/>
      <c r="H107" s="79">
        <f t="shared" si="155"/>
        <v>55832905</v>
      </c>
      <c r="I107" s="79">
        <f t="shared" si="156"/>
        <v>4167095</v>
      </c>
      <c r="J107" s="78"/>
      <c r="K107" s="78"/>
      <c r="L107" s="78"/>
      <c r="M107" s="75">
        <f t="shared" si="157"/>
        <v>60000000</v>
      </c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>
        <v>60000000</v>
      </c>
      <c r="AE107" s="75"/>
      <c r="AF107" s="75"/>
      <c r="AG107" s="75"/>
      <c r="AI107" s="25">
        <f t="shared" si="158"/>
        <v>1</v>
      </c>
      <c r="AJ107" s="75">
        <f t="shared" si="159"/>
        <v>60000000</v>
      </c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>
        <f>+'[9]ENERO 2015'!$G$305</f>
        <v>60000000</v>
      </c>
      <c r="BB107" s="75"/>
      <c r="BC107" s="75"/>
      <c r="BD107" s="75"/>
      <c r="BE107" s="25">
        <f t="shared" si="160"/>
        <v>0</v>
      </c>
      <c r="BF107" s="75">
        <f t="shared" si="161"/>
        <v>0</v>
      </c>
      <c r="BG107" s="75">
        <f t="shared" si="162"/>
        <v>0</v>
      </c>
      <c r="BH107" s="75">
        <f t="shared" si="163"/>
        <v>0</v>
      </c>
      <c r="BI107" s="75"/>
      <c r="BJ107" s="75">
        <f t="shared" si="164"/>
        <v>0</v>
      </c>
      <c r="BK107" s="75"/>
      <c r="BL107" s="75">
        <f t="shared" si="165"/>
        <v>0</v>
      </c>
      <c r="BM107" s="75">
        <f t="shared" si="165"/>
        <v>0</v>
      </c>
      <c r="BN107" s="75"/>
      <c r="BO107" s="75"/>
      <c r="BP107" s="75"/>
      <c r="BQ107" s="75"/>
      <c r="BR107" s="75">
        <f t="shared" si="166"/>
        <v>0</v>
      </c>
      <c r="BS107" s="75">
        <f t="shared" si="166"/>
        <v>0</v>
      </c>
      <c r="BT107" s="75">
        <f t="shared" si="166"/>
        <v>0</v>
      </c>
      <c r="BU107" s="75">
        <f t="shared" si="166"/>
        <v>0</v>
      </c>
      <c r="BV107" s="75">
        <f t="shared" si="166"/>
        <v>0</v>
      </c>
      <c r="BW107" s="75">
        <f t="shared" si="166"/>
        <v>0</v>
      </c>
      <c r="BX107" s="75"/>
      <c r="BY107" s="75"/>
      <c r="BZ107" s="75">
        <f t="shared" si="167"/>
        <v>0</v>
      </c>
      <c r="CA107" s="25">
        <f t="shared" si="168"/>
        <v>0.93054841666666666</v>
      </c>
      <c r="CB107" s="75">
        <f t="shared" si="169"/>
        <v>55832905</v>
      </c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>
        <f>+'[1]AGOSTO 2015'!$H$851</f>
        <v>55832905</v>
      </c>
      <c r="CT107" s="75"/>
      <c r="CU107" s="75"/>
      <c r="CV107" s="75"/>
      <c r="CW107" s="25">
        <f t="shared" si="170"/>
        <v>6.9451583333333344E-2</v>
      </c>
      <c r="CX107" s="75">
        <f t="shared" si="171"/>
        <v>4167095</v>
      </c>
      <c r="CY107" s="75">
        <f t="shared" si="177"/>
        <v>0</v>
      </c>
      <c r="CZ107" s="75"/>
      <c r="DA107" s="75"/>
      <c r="DB107" s="75">
        <f>Q107-CF107</f>
        <v>0</v>
      </c>
      <c r="DC107" s="75"/>
      <c r="DD107" s="75">
        <f t="shared" si="172"/>
        <v>0</v>
      </c>
      <c r="DE107" s="75">
        <f t="shared" si="172"/>
        <v>0</v>
      </c>
      <c r="DF107" s="75"/>
      <c r="DG107" s="75">
        <f t="shared" si="173"/>
        <v>0</v>
      </c>
      <c r="DH107" s="75">
        <f t="shared" si="173"/>
        <v>0</v>
      </c>
      <c r="DI107" s="75"/>
      <c r="DJ107" s="75">
        <f t="shared" si="174"/>
        <v>0</v>
      </c>
      <c r="DK107" s="75">
        <f t="shared" si="174"/>
        <v>0</v>
      </c>
      <c r="DL107" s="75">
        <f t="shared" si="174"/>
        <v>0</v>
      </c>
      <c r="DM107" s="75">
        <f t="shared" si="175"/>
        <v>0</v>
      </c>
      <c r="DN107" s="75">
        <f t="shared" si="175"/>
        <v>0</v>
      </c>
      <c r="DO107" s="75">
        <f t="shared" si="175"/>
        <v>4167095</v>
      </c>
      <c r="DP107" s="75">
        <f t="shared" si="175"/>
        <v>0</v>
      </c>
      <c r="DQ107" s="75"/>
      <c r="DR107" s="75">
        <f t="shared" si="176"/>
        <v>0</v>
      </c>
    </row>
    <row r="108" spans="1:122" ht="42" customHeight="1" x14ac:dyDescent="0.25">
      <c r="A108" s="258"/>
      <c r="B108" s="81"/>
      <c r="C108" s="82" t="s">
        <v>202</v>
      </c>
      <c r="D108" s="81" t="s">
        <v>201</v>
      </c>
      <c r="E108" s="97">
        <v>301</v>
      </c>
      <c r="F108" s="78" t="s">
        <v>200</v>
      </c>
      <c r="G108" s="228"/>
      <c r="H108" s="79">
        <f t="shared" si="155"/>
        <v>21234417</v>
      </c>
      <c r="I108" s="79">
        <f t="shared" si="156"/>
        <v>12765583</v>
      </c>
      <c r="J108" s="78"/>
      <c r="K108" s="78"/>
      <c r="L108" s="78"/>
      <c r="M108" s="75">
        <f t="shared" si="157"/>
        <v>34000000</v>
      </c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>
        <f>6000000+15000000+4000000+9000000</f>
        <v>34000000</v>
      </c>
      <c r="AI108" s="25">
        <f t="shared" si="158"/>
        <v>0.8529411764705882</v>
      </c>
      <c r="AJ108" s="75">
        <f t="shared" si="159"/>
        <v>29000000</v>
      </c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>
        <f>+'[2]JULIO 2015'!$AD$771</f>
        <v>29000000</v>
      </c>
      <c r="BE108" s="25">
        <f t="shared" si="160"/>
        <v>0.1470588235294118</v>
      </c>
      <c r="BF108" s="75">
        <f t="shared" si="161"/>
        <v>5000000</v>
      </c>
      <c r="BG108" s="75">
        <f t="shared" si="162"/>
        <v>0</v>
      </c>
      <c r="BH108" s="75">
        <f t="shared" si="163"/>
        <v>0</v>
      </c>
      <c r="BI108" s="75"/>
      <c r="BJ108" s="75">
        <f t="shared" si="164"/>
        <v>0</v>
      </c>
      <c r="BK108" s="75"/>
      <c r="BL108" s="75">
        <f t="shared" si="165"/>
        <v>0</v>
      </c>
      <c r="BM108" s="75">
        <f t="shared" si="165"/>
        <v>0</v>
      </c>
      <c r="BN108" s="75"/>
      <c r="BO108" s="75">
        <f t="shared" ref="BO108:BQ110" si="178">+V108-AS108</f>
        <v>0</v>
      </c>
      <c r="BP108" s="75">
        <f t="shared" si="178"/>
        <v>0</v>
      </c>
      <c r="BQ108" s="75">
        <f t="shared" si="178"/>
        <v>0</v>
      </c>
      <c r="BR108" s="75">
        <f t="shared" si="166"/>
        <v>0</v>
      </c>
      <c r="BS108" s="75">
        <f t="shared" si="166"/>
        <v>0</v>
      </c>
      <c r="BT108" s="75">
        <f t="shared" si="166"/>
        <v>0</v>
      </c>
      <c r="BU108" s="75">
        <f t="shared" si="166"/>
        <v>0</v>
      </c>
      <c r="BV108" s="75">
        <f t="shared" si="166"/>
        <v>0</v>
      </c>
      <c r="BW108" s="75">
        <f t="shared" si="166"/>
        <v>0</v>
      </c>
      <c r="BX108" s="75"/>
      <c r="BY108" s="75"/>
      <c r="BZ108" s="75">
        <f t="shared" si="167"/>
        <v>5000000</v>
      </c>
      <c r="CA108" s="25">
        <f t="shared" si="168"/>
        <v>0.62454167647058823</v>
      </c>
      <c r="CB108" s="75">
        <f t="shared" si="169"/>
        <v>21234417</v>
      </c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>
        <f>+'[1]AGOSTO 2015'!$H$864</f>
        <v>21234417</v>
      </c>
      <c r="CW108" s="25">
        <f t="shared" si="170"/>
        <v>0.37545832352941177</v>
      </c>
      <c r="CX108" s="75">
        <f t="shared" si="171"/>
        <v>12765583</v>
      </c>
      <c r="CY108" s="75">
        <f t="shared" si="177"/>
        <v>0</v>
      </c>
      <c r="CZ108" s="75"/>
      <c r="DA108" s="75"/>
      <c r="DB108" s="75">
        <f>Q108-CF108</f>
        <v>0</v>
      </c>
      <c r="DC108" s="75"/>
      <c r="DD108" s="75">
        <f t="shared" si="172"/>
        <v>0</v>
      </c>
      <c r="DE108" s="75">
        <f t="shared" si="172"/>
        <v>0</v>
      </c>
      <c r="DF108" s="75"/>
      <c r="DG108" s="75">
        <f t="shared" si="173"/>
        <v>0</v>
      </c>
      <c r="DH108" s="75">
        <f t="shared" si="173"/>
        <v>0</v>
      </c>
      <c r="DI108" s="75"/>
      <c r="DJ108" s="75">
        <f t="shared" si="174"/>
        <v>0</v>
      </c>
      <c r="DK108" s="75">
        <f t="shared" si="174"/>
        <v>0</v>
      </c>
      <c r="DL108" s="75">
        <f t="shared" si="174"/>
        <v>0</v>
      </c>
      <c r="DM108" s="75">
        <f t="shared" si="175"/>
        <v>0</v>
      </c>
      <c r="DN108" s="75">
        <f t="shared" si="175"/>
        <v>0</v>
      </c>
      <c r="DO108" s="75">
        <f t="shared" si="175"/>
        <v>0</v>
      </c>
      <c r="DP108" s="75">
        <f t="shared" si="175"/>
        <v>0</v>
      </c>
      <c r="DQ108" s="75"/>
      <c r="DR108" s="75">
        <f t="shared" si="176"/>
        <v>12765583</v>
      </c>
    </row>
    <row r="109" spans="1:122" ht="58.5" customHeight="1" x14ac:dyDescent="0.25">
      <c r="A109" s="258"/>
      <c r="B109" s="81"/>
      <c r="C109" s="82" t="s">
        <v>199</v>
      </c>
      <c r="D109" s="81" t="s">
        <v>198</v>
      </c>
      <c r="E109" s="97">
        <v>301</v>
      </c>
      <c r="F109" s="78" t="s">
        <v>166</v>
      </c>
      <c r="G109" s="228"/>
      <c r="H109" s="79">
        <f t="shared" si="155"/>
        <v>0</v>
      </c>
      <c r="I109" s="79">
        <f t="shared" si="156"/>
        <v>24000000</v>
      </c>
      <c r="J109" s="78"/>
      <c r="K109" s="78"/>
      <c r="L109" s="78"/>
      <c r="M109" s="75">
        <f t="shared" si="157"/>
        <v>24000000</v>
      </c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>
        <v>24000000</v>
      </c>
      <c r="AE109" s="75"/>
      <c r="AF109" s="75"/>
      <c r="AG109" s="75"/>
      <c r="AI109" s="25">
        <f t="shared" si="158"/>
        <v>0</v>
      </c>
      <c r="AJ109" s="75">
        <f t="shared" si="159"/>
        <v>0</v>
      </c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25">
        <f t="shared" si="160"/>
        <v>1</v>
      </c>
      <c r="BF109" s="75">
        <f t="shared" si="161"/>
        <v>24000000</v>
      </c>
      <c r="BG109" s="75">
        <f t="shared" si="162"/>
        <v>0</v>
      </c>
      <c r="BH109" s="75">
        <f t="shared" si="163"/>
        <v>0</v>
      </c>
      <c r="BI109" s="75"/>
      <c r="BJ109" s="75">
        <f t="shared" si="164"/>
        <v>0</v>
      </c>
      <c r="BK109" s="75"/>
      <c r="BL109" s="75">
        <f t="shared" si="165"/>
        <v>0</v>
      </c>
      <c r="BM109" s="75">
        <f t="shared" si="165"/>
        <v>0</v>
      </c>
      <c r="BN109" s="75"/>
      <c r="BO109" s="75">
        <f t="shared" si="178"/>
        <v>0</v>
      </c>
      <c r="BP109" s="75">
        <f t="shared" si="178"/>
        <v>0</v>
      </c>
      <c r="BQ109" s="75">
        <f t="shared" si="178"/>
        <v>0</v>
      </c>
      <c r="BR109" s="75">
        <f t="shared" si="166"/>
        <v>0</v>
      </c>
      <c r="BS109" s="75">
        <f t="shared" si="166"/>
        <v>0</v>
      </c>
      <c r="BT109" s="75">
        <f t="shared" si="166"/>
        <v>0</v>
      </c>
      <c r="BU109" s="75">
        <f t="shared" si="166"/>
        <v>0</v>
      </c>
      <c r="BV109" s="75">
        <f t="shared" si="166"/>
        <v>0</v>
      </c>
      <c r="BW109" s="75">
        <f t="shared" si="166"/>
        <v>24000000</v>
      </c>
      <c r="BX109" s="75"/>
      <c r="BY109" s="75"/>
      <c r="BZ109" s="75">
        <f t="shared" si="167"/>
        <v>0</v>
      </c>
      <c r="CA109" s="25">
        <f t="shared" si="168"/>
        <v>0</v>
      </c>
      <c r="CB109" s="75">
        <f t="shared" si="169"/>
        <v>0</v>
      </c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25">
        <f t="shared" si="170"/>
        <v>1</v>
      </c>
      <c r="CX109" s="75">
        <f t="shared" si="171"/>
        <v>24000000</v>
      </c>
      <c r="CY109" s="75">
        <f t="shared" si="177"/>
        <v>0</v>
      </c>
      <c r="CZ109" s="75"/>
      <c r="DA109" s="75"/>
      <c r="DB109" s="75">
        <f>Q109-CF109</f>
        <v>0</v>
      </c>
      <c r="DC109" s="75"/>
      <c r="DD109" s="75">
        <f t="shared" si="172"/>
        <v>0</v>
      </c>
      <c r="DE109" s="75">
        <f t="shared" si="172"/>
        <v>0</v>
      </c>
      <c r="DF109" s="75"/>
      <c r="DG109" s="75">
        <f t="shared" si="173"/>
        <v>0</v>
      </c>
      <c r="DH109" s="75">
        <f t="shared" si="173"/>
        <v>0</v>
      </c>
      <c r="DI109" s="75"/>
      <c r="DJ109" s="75">
        <f t="shared" si="174"/>
        <v>0</v>
      </c>
      <c r="DK109" s="75">
        <f t="shared" si="174"/>
        <v>0</v>
      </c>
      <c r="DL109" s="75">
        <f t="shared" si="174"/>
        <v>0</v>
      </c>
      <c r="DM109" s="75">
        <f t="shared" si="175"/>
        <v>0</v>
      </c>
      <c r="DN109" s="75">
        <f t="shared" si="175"/>
        <v>0</v>
      </c>
      <c r="DO109" s="75">
        <f t="shared" si="175"/>
        <v>24000000</v>
      </c>
      <c r="DP109" s="75">
        <f t="shared" si="175"/>
        <v>0</v>
      </c>
      <c r="DQ109" s="75"/>
      <c r="DR109" s="75">
        <f t="shared" si="176"/>
        <v>0</v>
      </c>
    </row>
    <row r="110" spans="1:122" ht="33" customHeight="1" x14ac:dyDescent="0.25">
      <c r="A110" s="258"/>
      <c r="B110" s="81"/>
      <c r="C110" s="82" t="s">
        <v>197</v>
      </c>
      <c r="D110" s="81" t="s">
        <v>196</v>
      </c>
      <c r="E110" s="97">
        <v>301</v>
      </c>
      <c r="F110" s="78" t="s">
        <v>166</v>
      </c>
      <c r="G110" s="228"/>
      <c r="H110" s="79">
        <f t="shared" si="155"/>
        <v>20728499</v>
      </c>
      <c r="I110" s="79">
        <f t="shared" si="156"/>
        <v>64271501</v>
      </c>
      <c r="J110" s="78"/>
      <c r="K110" s="78"/>
      <c r="L110" s="78"/>
      <c r="M110" s="75">
        <f t="shared" si="157"/>
        <v>85000000</v>
      </c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>
        <v>11406867</v>
      </c>
      <c r="AB110" s="75"/>
      <c r="AC110" s="75"/>
      <c r="AD110" s="75">
        <v>73593133</v>
      </c>
      <c r="AE110" s="75"/>
      <c r="AF110" s="75"/>
      <c r="AG110" s="75"/>
      <c r="AI110" s="25">
        <f t="shared" si="158"/>
        <v>1</v>
      </c>
      <c r="AJ110" s="75">
        <f t="shared" si="159"/>
        <v>85000000</v>
      </c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>
        <f>+'[9]ENERO 2015'!$T$326</f>
        <v>11406867</v>
      </c>
      <c r="AY110" s="75"/>
      <c r="AZ110" s="75"/>
      <c r="BA110" s="75">
        <f>+'[9]ENERO 2015'!$W$326</f>
        <v>73593133</v>
      </c>
      <c r="BB110" s="75"/>
      <c r="BC110" s="75"/>
      <c r="BD110" s="75"/>
      <c r="BE110" s="25">
        <f t="shared" si="160"/>
        <v>0</v>
      </c>
      <c r="BF110" s="75">
        <f t="shared" si="161"/>
        <v>0</v>
      </c>
      <c r="BG110" s="75">
        <f t="shared" si="162"/>
        <v>0</v>
      </c>
      <c r="BH110" s="75">
        <f t="shared" si="163"/>
        <v>0</v>
      </c>
      <c r="BI110" s="75"/>
      <c r="BJ110" s="75">
        <f t="shared" si="164"/>
        <v>0</v>
      </c>
      <c r="BK110" s="75"/>
      <c r="BL110" s="75">
        <f t="shared" si="165"/>
        <v>0</v>
      </c>
      <c r="BM110" s="75">
        <f t="shared" si="165"/>
        <v>0</v>
      </c>
      <c r="BN110" s="75"/>
      <c r="BO110" s="75">
        <f t="shared" si="178"/>
        <v>0</v>
      </c>
      <c r="BP110" s="75">
        <f t="shared" si="178"/>
        <v>0</v>
      </c>
      <c r="BQ110" s="75">
        <f t="shared" si="178"/>
        <v>0</v>
      </c>
      <c r="BR110" s="75">
        <f t="shared" si="166"/>
        <v>0</v>
      </c>
      <c r="BS110" s="75">
        <f t="shared" si="166"/>
        <v>0</v>
      </c>
      <c r="BT110" s="75">
        <f t="shared" si="166"/>
        <v>0</v>
      </c>
      <c r="BU110" s="75">
        <f t="shared" si="166"/>
        <v>0</v>
      </c>
      <c r="BV110" s="75">
        <f t="shared" si="166"/>
        <v>0</v>
      </c>
      <c r="BW110" s="75">
        <f t="shared" si="166"/>
        <v>0</v>
      </c>
      <c r="BX110" s="75"/>
      <c r="BY110" s="75"/>
      <c r="BZ110" s="75">
        <f t="shared" si="167"/>
        <v>0</v>
      </c>
      <c r="CA110" s="25">
        <f t="shared" si="168"/>
        <v>0.24386469411764705</v>
      </c>
      <c r="CB110" s="75">
        <f t="shared" si="169"/>
        <v>20728499</v>
      </c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>
        <v>8728499</v>
      </c>
      <c r="CQ110" s="75"/>
      <c r="CR110" s="75"/>
      <c r="CS110" s="75">
        <v>12000000</v>
      </c>
      <c r="CT110" s="75"/>
      <c r="CU110" s="75"/>
      <c r="CV110" s="75"/>
      <c r="CW110" s="25">
        <f t="shared" si="170"/>
        <v>0.756135305882353</v>
      </c>
      <c r="CX110" s="75">
        <f t="shared" si="171"/>
        <v>64271501</v>
      </c>
      <c r="CY110" s="75">
        <f t="shared" si="177"/>
        <v>0</v>
      </c>
      <c r="CZ110" s="75"/>
      <c r="DA110" s="75"/>
      <c r="DB110" s="75">
        <f>Q110-CF110</f>
        <v>0</v>
      </c>
      <c r="DC110" s="75"/>
      <c r="DD110" s="75">
        <f t="shared" si="172"/>
        <v>0</v>
      </c>
      <c r="DE110" s="75">
        <f t="shared" si="172"/>
        <v>0</v>
      </c>
      <c r="DF110" s="75"/>
      <c r="DG110" s="75">
        <f t="shared" si="173"/>
        <v>0</v>
      </c>
      <c r="DH110" s="75">
        <f t="shared" si="173"/>
        <v>0</v>
      </c>
      <c r="DI110" s="75"/>
      <c r="DJ110" s="75">
        <f t="shared" si="174"/>
        <v>0</v>
      </c>
      <c r="DK110" s="75">
        <f t="shared" si="174"/>
        <v>0</v>
      </c>
      <c r="DL110" s="75">
        <f t="shared" si="174"/>
        <v>2678368</v>
      </c>
      <c r="DM110" s="75">
        <f t="shared" si="175"/>
        <v>0</v>
      </c>
      <c r="DN110" s="75">
        <f t="shared" si="175"/>
        <v>0</v>
      </c>
      <c r="DO110" s="75">
        <f t="shared" si="175"/>
        <v>61593133</v>
      </c>
      <c r="DP110" s="75">
        <f t="shared" si="175"/>
        <v>0</v>
      </c>
      <c r="DQ110" s="75"/>
      <c r="DR110" s="75">
        <f t="shared" si="176"/>
        <v>0</v>
      </c>
    </row>
    <row r="111" spans="1:122" ht="26.25" customHeight="1" x14ac:dyDescent="0.25">
      <c r="A111" s="258"/>
      <c r="B111" s="81"/>
      <c r="C111" s="82" t="s">
        <v>195</v>
      </c>
      <c r="D111" s="81" t="s">
        <v>194</v>
      </c>
      <c r="E111" s="97">
        <v>301</v>
      </c>
      <c r="F111" s="78" t="s">
        <v>193</v>
      </c>
      <c r="G111" s="228"/>
      <c r="H111" s="79">
        <f t="shared" si="155"/>
        <v>21520377</v>
      </c>
      <c r="I111" s="79">
        <f t="shared" si="156"/>
        <v>58479623</v>
      </c>
      <c r="J111" s="78"/>
      <c r="K111" s="78"/>
      <c r="L111" s="78"/>
      <c r="M111" s="75">
        <f t="shared" si="157"/>
        <v>80000000</v>
      </c>
      <c r="N111" s="75">
        <v>80000000</v>
      </c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I111" s="25">
        <f t="shared" si="158"/>
        <v>1</v>
      </c>
      <c r="AJ111" s="75">
        <f t="shared" si="159"/>
        <v>80000000</v>
      </c>
      <c r="AK111" s="75">
        <f>+'[4]MARZO 2015'!$J$488</f>
        <v>80000000</v>
      </c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25">
        <f t="shared" si="160"/>
        <v>0</v>
      </c>
      <c r="BF111" s="75">
        <f t="shared" si="161"/>
        <v>0</v>
      </c>
      <c r="BG111" s="75">
        <f t="shared" si="162"/>
        <v>0</v>
      </c>
      <c r="BH111" s="75">
        <f t="shared" si="163"/>
        <v>0</v>
      </c>
      <c r="BI111" s="75"/>
      <c r="BJ111" s="75">
        <f t="shared" si="164"/>
        <v>0</v>
      </c>
      <c r="BK111" s="75"/>
      <c r="BL111" s="75"/>
      <c r="BM111" s="75"/>
      <c r="BN111" s="75"/>
      <c r="BO111" s="75"/>
      <c r="BP111" s="75"/>
      <c r="BQ111" s="75"/>
      <c r="BR111" s="75"/>
      <c r="BS111" s="75">
        <f t="shared" ref="BS111:BV112" si="179">+Z111-AW111</f>
        <v>0</v>
      </c>
      <c r="BT111" s="75">
        <f t="shared" si="179"/>
        <v>0</v>
      </c>
      <c r="BU111" s="75">
        <f t="shared" si="179"/>
        <v>0</v>
      </c>
      <c r="BV111" s="75">
        <f t="shared" si="179"/>
        <v>0</v>
      </c>
      <c r="BW111" s="75"/>
      <c r="BX111" s="75"/>
      <c r="BY111" s="75"/>
      <c r="BZ111" s="75">
        <f t="shared" si="167"/>
        <v>0</v>
      </c>
      <c r="CA111" s="25">
        <f t="shared" si="168"/>
        <v>0.26900471250000002</v>
      </c>
      <c r="CB111" s="75">
        <f t="shared" si="169"/>
        <v>21520377</v>
      </c>
      <c r="CC111" s="75">
        <f>+'[1]AGOSTO 2015'!$H$910</f>
        <v>21520377</v>
      </c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5"/>
      <c r="CV111" s="75"/>
      <c r="CW111" s="25">
        <f t="shared" si="170"/>
        <v>0.73099528749999998</v>
      </c>
      <c r="CX111" s="75">
        <f t="shared" si="171"/>
        <v>58479623</v>
      </c>
      <c r="CY111" s="75">
        <f t="shared" si="177"/>
        <v>58479623</v>
      </c>
      <c r="CZ111" s="75"/>
      <c r="DA111" s="75"/>
      <c r="DB111" s="75"/>
      <c r="DC111" s="75"/>
      <c r="DD111" s="75">
        <f>S111-CH111</f>
        <v>0</v>
      </c>
      <c r="DE111" s="75"/>
      <c r="DF111" s="75"/>
      <c r="DG111" s="75"/>
      <c r="DH111" s="75"/>
      <c r="DI111" s="75"/>
      <c r="DJ111" s="75"/>
      <c r="DK111" s="75"/>
      <c r="DL111" s="75"/>
      <c r="DM111" s="75">
        <f>+AB111-CQ111</f>
        <v>0</v>
      </c>
      <c r="DN111" s="75"/>
      <c r="DO111" s="75"/>
      <c r="DP111" s="75"/>
      <c r="DQ111" s="75"/>
      <c r="DR111" s="75">
        <f t="shared" si="176"/>
        <v>0</v>
      </c>
    </row>
    <row r="112" spans="1:122" ht="26.25" customHeight="1" x14ac:dyDescent="0.25">
      <c r="A112" s="258"/>
      <c r="B112" s="81"/>
      <c r="C112" s="82" t="s">
        <v>192</v>
      </c>
      <c r="D112" s="81" t="s">
        <v>191</v>
      </c>
      <c r="E112" s="97">
        <v>301</v>
      </c>
      <c r="F112" s="78" t="s">
        <v>35</v>
      </c>
      <c r="G112" s="228"/>
      <c r="H112" s="79">
        <f t="shared" si="155"/>
        <v>100000000</v>
      </c>
      <c r="I112" s="79">
        <f t="shared" si="156"/>
        <v>0</v>
      </c>
      <c r="J112" s="78"/>
      <c r="K112" s="78"/>
      <c r="L112" s="78"/>
      <c r="M112" s="75">
        <f t="shared" si="157"/>
        <v>100000000</v>
      </c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>
        <v>100000000</v>
      </c>
      <c r="AC112" s="75"/>
      <c r="AD112" s="75"/>
      <c r="AE112" s="75"/>
      <c r="AF112" s="75"/>
      <c r="AG112" s="75"/>
      <c r="AI112" s="25">
        <f t="shared" si="158"/>
        <v>1</v>
      </c>
      <c r="AJ112" s="75">
        <f t="shared" si="159"/>
        <v>100000000</v>
      </c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>
        <f>+'[4]MARZO 2015'!$W$496</f>
        <v>100000000</v>
      </c>
      <c r="AZ112" s="75"/>
      <c r="BA112" s="75"/>
      <c r="BB112" s="75"/>
      <c r="BC112" s="75"/>
      <c r="BD112" s="75"/>
      <c r="BE112" s="25">
        <f t="shared" si="160"/>
        <v>0</v>
      </c>
      <c r="BF112" s="75">
        <f t="shared" si="161"/>
        <v>0</v>
      </c>
      <c r="BG112" s="75">
        <f t="shared" si="162"/>
        <v>0</v>
      </c>
      <c r="BH112" s="75">
        <f t="shared" si="163"/>
        <v>0</v>
      </c>
      <c r="BI112" s="75"/>
      <c r="BJ112" s="75">
        <f t="shared" si="164"/>
        <v>0</v>
      </c>
      <c r="BK112" s="75"/>
      <c r="BL112" s="75"/>
      <c r="BM112" s="75"/>
      <c r="BN112" s="75"/>
      <c r="BO112" s="75"/>
      <c r="BP112" s="75"/>
      <c r="BQ112" s="75"/>
      <c r="BR112" s="75"/>
      <c r="BS112" s="75">
        <f t="shared" si="179"/>
        <v>0</v>
      </c>
      <c r="BT112" s="75">
        <f t="shared" si="179"/>
        <v>0</v>
      </c>
      <c r="BU112" s="75">
        <f t="shared" si="179"/>
        <v>0</v>
      </c>
      <c r="BV112" s="75">
        <f t="shared" si="179"/>
        <v>0</v>
      </c>
      <c r="BW112" s="75"/>
      <c r="BX112" s="75"/>
      <c r="BY112" s="75"/>
      <c r="BZ112" s="75">
        <f t="shared" si="167"/>
        <v>0</v>
      </c>
      <c r="CA112" s="25">
        <f t="shared" si="168"/>
        <v>1</v>
      </c>
      <c r="CB112" s="75">
        <f t="shared" si="169"/>
        <v>100000000</v>
      </c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>
        <f>+'[3]ABRIL 2015'!$H$571</f>
        <v>100000000</v>
      </c>
      <c r="CR112" s="75"/>
      <c r="CS112" s="75"/>
      <c r="CT112" s="75"/>
      <c r="CU112" s="75"/>
      <c r="CV112" s="75"/>
      <c r="CW112" s="25">
        <f t="shared" si="170"/>
        <v>0</v>
      </c>
      <c r="CX112" s="75">
        <f t="shared" si="171"/>
        <v>0</v>
      </c>
      <c r="CY112" s="75">
        <f t="shared" si="177"/>
        <v>0</v>
      </c>
      <c r="CZ112" s="75"/>
      <c r="DA112" s="75"/>
      <c r="DB112" s="75"/>
      <c r="DC112" s="75"/>
      <c r="DD112" s="75">
        <f>S112-CH112</f>
        <v>0</v>
      </c>
      <c r="DE112" s="75"/>
      <c r="DF112" s="75"/>
      <c r="DG112" s="75"/>
      <c r="DH112" s="75"/>
      <c r="DI112" s="75"/>
      <c r="DJ112" s="75"/>
      <c r="DK112" s="75"/>
      <c r="DL112" s="75"/>
      <c r="DM112" s="75">
        <f>+AB112-CQ112</f>
        <v>0</v>
      </c>
      <c r="DN112" s="75"/>
      <c r="DO112" s="75"/>
      <c r="DP112" s="75"/>
      <c r="DQ112" s="75"/>
      <c r="DR112" s="75">
        <f t="shared" si="176"/>
        <v>0</v>
      </c>
    </row>
    <row r="113" spans="1:124" ht="33.75" customHeight="1" x14ac:dyDescent="0.25">
      <c r="A113" s="258"/>
      <c r="B113" s="81"/>
      <c r="C113" s="82" t="s">
        <v>190</v>
      </c>
      <c r="D113" s="81" t="s">
        <v>189</v>
      </c>
      <c r="E113" s="97">
        <v>301</v>
      </c>
      <c r="F113" s="78" t="s">
        <v>166</v>
      </c>
      <c r="G113" s="229"/>
      <c r="H113" s="79">
        <f t="shared" si="155"/>
        <v>0</v>
      </c>
      <c r="I113" s="79">
        <f t="shared" si="156"/>
        <v>30000000</v>
      </c>
      <c r="J113" s="78"/>
      <c r="K113" s="78"/>
      <c r="L113" s="78"/>
      <c r="M113" s="75">
        <f t="shared" si="157"/>
        <v>30000000</v>
      </c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>
        <v>30000000</v>
      </c>
      <c r="AD113" s="75"/>
      <c r="AE113" s="75"/>
      <c r="AF113" s="75"/>
      <c r="AG113" s="75"/>
      <c r="AI113" s="25">
        <f t="shared" si="158"/>
        <v>0</v>
      </c>
      <c r="AJ113" s="75">
        <f t="shared" si="159"/>
        <v>0</v>
      </c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25">
        <f t="shared" si="160"/>
        <v>1</v>
      </c>
      <c r="BF113" s="75">
        <f t="shared" si="161"/>
        <v>30000000</v>
      </c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>
        <f t="shared" ref="BV113:BV120" si="180">+AC113-AZ113</f>
        <v>30000000</v>
      </c>
      <c r="BW113" s="75"/>
      <c r="BX113" s="75"/>
      <c r="BY113" s="75"/>
      <c r="BZ113" s="75"/>
      <c r="CA113" s="25">
        <f t="shared" si="168"/>
        <v>0</v>
      </c>
      <c r="CB113" s="75">
        <f t="shared" si="169"/>
        <v>0</v>
      </c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5"/>
      <c r="CV113" s="75"/>
      <c r="CW113" s="25">
        <f t="shared" si="170"/>
        <v>1</v>
      </c>
      <c r="CX113" s="75">
        <f t="shared" si="171"/>
        <v>30000000</v>
      </c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>
        <f t="shared" ref="DN113:DN120" si="181">+AC113-CR113</f>
        <v>30000000</v>
      </c>
      <c r="DO113" s="75"/>
      <c r="DP113" s="75"/>
      <c r="DQ113" s="75"/>
      <c r="DR113" s="75"/>
    </row>
    <row r="114" spans="1:124" ht="44.25" customHeight="1" x14ac:dyDescent="0.25">
      <c r="A114" s="258"/>
      <c r="B114" s="81" t="s">
        <v>188</v>
      </c>
      <c r="C114" s="82" t="s">
        <v>187</v>
      </c>
      <c r="D114" s="81" t="s">
        <v>186</v>
      </c>
      <c r="E114" s="97">
        <v>301</v>
      </c>
      <c r="F114" s="78" t="s">
        <v>185</v>
      </c>
      <c r="G114" s="78">
        <v>304000000</v>
      </c>
      <c r="H114" s="79">
        <f t="shared" si="155"/>
        <v>208877300</v>
      </c>
      <c r="I114" s="79">
        <f t="shared" si="156"/>
        <v>103122700</v>
      </c>
      <c r="J114" s="78"/>
      <c r="K114" s="78"/>
      <c r="L114" s="78"/>
      <c r="M114" s="75">
        <f t="shared" si="157"/>
        <v>312000000</v>
      </c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>
        <v>300000000</v>
      </c>
      <c r="AB114" s="75"/>
      <c r="AC114" s="75"/>
      <c r="AD114" s="75"/>
      <c r="AE114" s="75"/>
      <c r="AF114" s="75"/>
      <c r="AG114" s="75">
        <f>4000000+8000000</f>
        <v>12000000</v>
      </c>
      <c r="AI114" s="25">
        <f t="shared" si="158"/>
        <v>0.99425641025641021</v>
      </c>
      <c r="AJ114" s="75">
        <f t="shared" si="159"/>
        <v>310208000</v>
      </c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>
        <f>+'[1]AGOSTO 2015'!$W$943</f>
        <v>298208000</v>
      </c>
      <c r="AY114" s="75"/>
      <c r="AZ114" s="75"/>
      <c r="BA114" s="75"/>
      <c r="BB114" s="75"/>
      <c r="BC114" s="75"/>
      <c r="BD114" s="75">
        <f>+'[2]JULIO 2015'!$AD$839</f>
        <v>12000000</v>
      </c>
      <c r="BE114" s="25">
        <f t="shared" si="160"/>
        <v>5.7435897435897942E-3</v>
      </c>
      <c r="BF114" s="75">
        <f t="shared" si="161"/>
        <v>1792000</v>
      </c>
      <c r="BG114" s="75">
        <f t="shared" ref="BG114:BG120" si="182">+N114-AK114</f>
        <v>0</v>
      </c>
      <c r="BH114" s="75">
        <f t="shared" ref="BH114:BH120" si="183">O114-AL114</f>
        <v>0</v>
      </c>
      <c r="BI114" s="75"/>
      <c r="BJ114" s="75">
        <f t="shared" ref="BJ114:BJ120" si="184">Q114-AN114</f>
        <v>0</v>
      </c>
      <c r="BK114" s="75"/>
      <c r="BL114" s="75">
        <f t="shared" ref="BL114:BM120" si="185">+S114-AP114</f>
        <v>0</v>
      </c>
      <c r="BM114" s="75">
        <f t="shared" si="185"/>
        <v>0</v>
      </c>
      <c r="BN114" s="75"/>
      <c r="BO114" s="75">
        <f t="shared" ref="BO114:BU115" si="186">+V114-AS114</f>
        <v>0</v>
      </c>
      <c r="BP114" s="75">
        <f t="shared" si="186"/>
        <v>0</v>
      </c>
      <c r="BQ114" s="75">
        <f t="shared" si="186"/>
        <v>0</v>
      </c>
      <c r="BR114" s="75">
        <f t="shared" si="186"/>
        <v>0</v>
      </c>
      <c r="BS114" s="75">
        <f t="shared" si="186"/>
        <v>0</v>
      </c>
      <c r="BT114" s="75">
        <f t="shared" si="186"/>
        <v>1792000</v>
      </c>
      <c r="BU114" s="75">
        <f t="shared" si="186"/>
        <v>0</v>
      </c>
      <c r="BV114" s="75">
        <f t="shared" si="180"/>
        <v>0</v>
      </c>
      <c r="BW114" s="75">
        <f t="shared" ref="BW114:BW120" si="187">+AD114-BA114</f>
        <v>0</v>
      </c>
      <c r="BX114" s="75"/>
      <c r="BY114" s="75"/>
      <c r="BZ114" s="75">
        <f t="shared" ref="BZ114:BZ120" si="188">+AG114-BD114</f>
        <v>0</v>
      </c>
      <c r="CA114" s="25">
        <f t="shared" si="168"/>
        <v>0.66947852564102561</v>
      </c>
      <c r="CB114" s="75">
        <f t="shared" si="169"/>
        <v>208877300</v>
      </c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>
        <f>+'[1]AGOSTO 2015'!$H$944+'[1]AGOSTO 2015'!$H$946</f>
        <v>207877300</v>
      </c>
      <c r="CQ114" s="75"/>
      <c r="CR114" s="75"/>
      <c r="CS114" s="75"/>
      <c r="CT114" s="75"/>
      <c r="CU114" s="75"/>
      <c r="CV114" s="75">
        <f>+'[10]MAYO 2015'!$H$662</f>
        <v>1000000</v>
      </c>
      <c r="CW114" s="25">
        <f t="shared" si="170"/>
        <v>0.33052147435897439</v>
      </c>
      <c r="CX114" s="75">
        <f t="shared" si="171"/>
        <v>103122700</v>
      </c>
      <c r="CY114" s="75">
        <f t="shared" ref="CY114:CY120" si="189">N114-CC114</f>
        <v>0</v>
      </c>
      <c r="CZ114" s="75"/>
      <c r="DA114" s="75"/>
      <c r="DB114" s="75">
        <f t="shared" ref="DB114:DB120" si="190">Q114-CF114</f>
        <v>0</v>
      </c>
      <c r="DC114" s="75"/>
      <c r="DD114" s="75">
        <f t="shared" ref="DD114:DE120" si="191">S114-CH114</f>
        <v>0</v>
      </c>
      <c r="DE114" s="75">
        <f t="shared" si="191"/>
        <v>0</v>
      </c>
      <c r="DF114" s="75"/>
      <c r="DG114" s="75">
        <f t="shared" ref="DG114:DH120" si="192">+V114-CK114</f>
        <v>0</v>
      </c>
      <c r="DH114" s="75">
        <f t="shared" si="192"/>
        <v>0</v>
      </c>
      <c r="DI114" s="75"/>
      <c r="DJ114" s="75">
        <f t="shared" ref="DJ114:DL120" si="193">Y114-CN114</f>
        <v>0</v>
      </c>
      <c r="DK114" s="75">
        <f t="shared" si="193"/>
        <v>0</v>
      </c>
      <c r="DL114" s="75">
        <f t="shared" si="193"/>
        <v>92122700</v>
      </c>
      <c r="DM114" s="75">
        <f t="shared" ref="DM114:DM120" si="194">+AB114-CQ114</f>
        <v>0</v>
      </c>
      <c r="DN114" s="75">
        <f t="shared" si="181"/>
        <v>0</v>
      </c>
      <c r="DO114" s="75">
        <f t="shared" ref="DO114:DP120" si="195">+AD114-CS114</f>
        <v>0</v>
      </c>
      <c r="DP114" s="75">
        <f t="shared" si="195"/>
        <v>0</v>
      </c>
      <c r="DQ114" s="75"/>
      <c r="DR114" s="75">
        <f t="shared" ref="DR114:DR120" si="196">+AG114-CV114</f>
        <v>11000000</v>
      </c>
    </row>
    <row r="115" spans="1:124" ht="71.25" customHeight="1" x14ac:dyDescent="0.25">
      <c r="A115" s="258"/>
      <c r="B115" s="81" t="s">
        <v>184</v>
      </c>
      <c r="C115" s="82" t="s">
        <v>183</v>
      </c>
      <c r="D115" s="81" t="s">
        <v>182</v>
      </c>
      <c r="E115" s="97">
        <v>301</v>
      </c>
      <c r="F115" s="78" t="s">
        <v>181</v>
      </c>
      <c r="G115" s="78">
        <v>306000000</v>
      </c>
      <c r="H115" s="79">
        <f t="shared" si="155"/>
        <v>129601634</v>
      </c>
      <c r="I115" s="79">
        <f t="shared" si="156"/>
        <v>187398366</v>
      </c>
      <c r="J115" s="78"/>
      <c r="K115" s="78"/>
      <c r="L115" s="78"/>
      <c r="M115" s="75">
        <f t="shared" si="157"/>
        <v>317000000</v>
      </c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>
        <v>300000000</v>
      </c>
      <c r="AB115" s="75"/>
      <c r="AC115" s="75"/>
      <c r="AD115" s="75"/>
      <c r="AE115" s="75"/>
      <c r="AF115" s="75"/>
      <c r="AG115" s="75">
        <f>1000000+5000000+11000000</f>
        <v>17000000</v>
      </c>
      <c r="AI115" s="25">
        <f t="shared" si="158"/>
        <v>0.93938264984227127</v>
      </c>
      <c r="AJ115" s="75">
        <f t="shared" si="159"/>
        <v>297784300</v>
      </c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>
        <f>+'[6]JUNIO 2015'!$W$749</f>
        <v>282584300</v>
      </c>
      <c r="AY115" s="75"/>
      <c r="AZ115" s="75"/>
      <c r="BA115" s="75"/>
      <c r="BB115" s="75"/>
      <c r="BC115" s="75"/>
      <c r="BD115" s="75">
        <f>+'[1]AGOSTO 2015'!$AD$997</f>
        <v>15200000</v>
      </c>
      <c r="BE115" s="25">
        <f t="shared" si="160"/>
        <v>6.0617350157728733E-2</v>
      </c>
      <c r="BF115" s="75">
        <f t="shared" si="161"/>
        <v>19215700</v>
      </c>
      <c r="BG115" s="75">
        <f t="shared" si="182"/>
        <v>0</v>
      </c>
      <c r="BH115" s="75">
        <f t="shared" si="183"/>
        <v>0</v>
      </c>
      <c r="BI115" s="75"/>
      <c r="BJ115" s="75">
        <f t="shared" si="184"/>
        <v>0</v>
      </c>
      <c r="BK115" s="75"/>
      <c r="BL115" s="75">
        <f t="shared" si="185"/>
        <v>0</v>
      </c>
      <c r="BM115" s="75">
        <f t="shared" si="185"/>
        <v>0</v>
      </c>
      <c r="BN115" s="75"/>
      <c r="BO115" s="75">
        <f t="shared" si="186"/>
        <v>0</v>
      </c>
      <c r="BP115" s="75">
        <f t="shared" si="186"/>
        <v>0</v>
      </c>
      <c r="BQ115" s="75">
        <f t="shared" si="186"/>
        <v>0</v>
      </c>
      <c r="BR115" s="75">
        <f t="shared" si="186"/>
        <v>0</v>
      </c>
      <c r="BS115" s="75">
        <f t="shared" si="186"/>
        <v>0</v>
      </c>
      <c r="BT115" s="75">
        <f t="shared" si="186"/>
        <v>17415700</v>
      </c>
      <c r="BU115" s="75">
        <f t="shared" si="186"/>
        <v>0</v>
      </c>
      <c r="BV115" s="75">
        <f t="shared" si="180"/>
        <v>0</v>
      </c>
      <c r="BW115" s="75">
        <f t="shared" si="187"/>
        <v>0</v>
      </c>
      <c r="BX115" s="75"/>
      <c r="BY115" s="75"/>
      <c r="BZ115" s="75">
        <f t="shared" si="188"/>
        <v>1800000</v>
      </c>
      <c r="CA115" s="25">
        <f t="shared" si="168"/>
        <v>0.40883796214511042</v>
      </c>
      <c r="CB115" s="75">
        <f t="shared" si="169"/>
        <v>129601634</v>
      </c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>
        <f>+'[1]AGOSTO 2015'!$H$999+'[1]AGOSTO 2015'!$H$1001+'[1]AGOSTO 2015'!$H$1003+'[1]AGOSTO 2015'!$H$1024</f>
        <v>125276634</v>
      </c>
      <c r="CQ115" s="75"/>
      <c r="CR115" s="75"/>
      <c r="CS115" s="75"/>
      <c r="CT115" s="75"/>
      <c r="CU115" s="75"/>
      <c r="CV115" s="75">
        <f>+'[1]AGOSTO 2015'!$H$998+'[1]AGOSTO 2015'!$H$1022+'[1]AGOSTO 2015'!$H$1025+'[1]AGOSTO 2015'!$H$1030</f>
        <v>4325000</v>
      </c>
      <c r="CW115" s="25">
        <f t="shared" si="170"/>
        <v>0.59116203785488963</v>
      </c>
      <c r="CX115" s="75">
        <f t="shared" si="171"/>
        <v>187398366</v>
      </c>
      <c r="CY115" s="75">
        <f t="shared" si="189"/>
        <v>0</v>
      </c>
      <c r="CZ115" s="75"/>
      <c r="DA115" s="75"/>
      <c r="DB115" s="75">
        <f t="shared" si="190"/>
        <v>0</v>
      </c>
      <c r="DC115" s="75"/>
      <c r="DD115" s="75">
        <f t="shared" si="191"/>
        <v>0</v>
      </c>
      <c r="DE115" s="75">
        <f t="shared" si="191"/>
        <v>0</v>
      </c>
      <c r="DF115" s="75"/>
      <c r="DG115" s="75">
        <f t="shared" si="192"/>
        <v>0</v>
      </c>
      <c r="DH115" s="75">
        <f t="shared" si="192"/>
        <v>0</v>
      </c>
      <c r="DI115" s="75"/>
      <c r="DJ115" s="75">
        <f t="shared" si="193"/>
        <v>0</v>
      </c>
      <c r="DK115" s="75">
        <f t="shared" si="193"/>
        <v>0</v>
      </c>
      <c r="DL115" s="75">
        <f t="shared" si="193"/>
        <v>174723366</v>
      </c>
      <c r="DM115" s="75">
        <f t="shared" si="194"/>
        <v>0</v>
      </c>
      <c r="DN115" s="75">
        <f t="shared" si="181"/>
        <v>0</v>
      </c>
      <c r="DO115" s="75">
        <f t="shared" si="195"/>
        <v>0</v>
      </c>
      <c r="DP115" s="75">
        <f t="shared" si="195"/>
        <v>0</v>
      </c>
      <c r="DQ115" s="75"/>
      <c r="DR115" s="75">
        <f t="shared" si="196"/>
        <v>12675000</v>
      </c>
    </row>
    <row r="116" spans="1:124" ht="29.25" customHeight="1" x14ac:dyDescent="0.25">
      <c r="A116" s="258"/>
      <c r="B116" s="81" t="s">
        <v>180</v>
      </c>
      <c r="C116" s="82" t="s">
        <v>179</v>
      </c>
      <c r="D116" s="81" t="s">
        <v>178</v>
      </c>
      <c r="E116" s="97">
        <v>301</v>
      </c>
      <c r="F116" s="78" t="s">
        <v>177</v>
      </c>
      <c r="G116" s="78">
        <v>67000000</v>
      </c>
      <c r="H116" s="79">
        <f t="shared" si="155"/>
        <v>3045000</v>
      </c>
      <c r="I116" s="79">
        <f t="shared" si="156"/>
        <v>16955000</v>
      </c>
      <c r="J116" s="78"/>
      <c r="K116" s="78"/>
      <c r="L116" s="78"/>
      <c r="M116" s="75">
        <f t="shared" si="157"/>
        <v>20000000</v>
      </c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>
        <f>67000000-52000000</f>
        <v>15000000</v>
      </c>
      <c r="AB116" s="75"/>
      <c r="AC116" s="75"/>
      <c r="AD116" s="75"/>
      <c r="AE116" s="75"/>
      <c r="AF116" s="75"/>
      <c r="AG116" s="75">
        <f>5000000</f>
        <v>5000000</v>
      </c>
      <c r="AI116" s="25">
        <f t="shared" si="158"/>
        <v>1</v>
      </c>
      <c r="AJ116" s="75">
        <f t="shared" si="159"/>
        <v>20000000</v>
      </c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>
        <f>+'[4]MARZO 2015'!$V$535</f>
        <v>15000000</v>
      </c>
      <c r="AY116" s="75"/>
      <c r="AZ116" s="75"/>
      <c r="BA116" s="75"/>
      <c r="BB116" s="75"/>
      <c r="BC116" s="75"/>
      <c r="BD116" s="75">
        <f>+'[6]JUNIO 2015'!$AD$780</f>
        <v>5000000</v>
      </c>
      <c r="BE116" s="25">
        <f t="shared" si="160"/>
        <v>0</v>
      </c>
      <c r="BF116" s="75">
        <f t="shared" si="161"/>
        <v>0</v>
      </c>
      <c r="BG116" s="75">
        <f t="shared" si="182"/>
        <v>0</v>
      </c>
      <c r="BH116" s="75">
        <f t="shared" si="183"/>
        <v>0</v>
      </c>
      <c r="BI116" s="75"/>
      <c r="BJ116" s="75">
        <f t="shared" si="184"/>
        <v>0</v>
      </c>
      <c r="BK116" s="75"/>
      <c r="BL116" s="75">
        <f t="shared" si="185"/>
        <v>0</v>
      </c>
      <c r="BM116" s="75">
        <f t="shared" si="185"/>
        <v>0</v>
      </c>
      <c r="BN116" s="75"/>
      <c r="BO116" s="75"/>
      <c r="BP116" s="75"/>
      <c r="BQ116" s="75"/>
      <c r="BR116" s="75">
        <f t="shared" ref="BR116:BU120" si="197">+Y116-AV116</f>
        <v>0</v>
      </c>
      <c r="BS116" s="75">
        <f t="shared" si="197"/>
        <v>0</v>
      </c>
      <c r="BT116" s="75">
        <f t="shared" si="197"/>
        <v>0</v>
      </c>
      <c r="BU116" s="75">
        <f t="shared" si="197"/>
        <v>0</v>
      </c>
      <c r="BV116" s="75">
        <f t="shared" si="180"/>
        <v>0</v>
      </c>
      <c r="BW116" s="75">
        <f t="shared" si="187"/>
        <v>0</v>
      </c>
      <c r="BX116" s="75"/>
      <c r="BY116" s="75"/>
      <c r="BZ116" s="75">
        <f t="shared" si="188"/>
        <v>0</v>
      </c>
      <c r="CA116" s="25">
        <f t="shared" si="168"/>
        <v>0.15225</v>
      </c>
      <c r="CB116" s="75">
        <f t="shared" si="169"/>
        <v>3045000</v>
      </c>
      <c r="CC116" s="75"/>
      <c r="CD116" s="75"/>
      <c r="CE116" s="75"/>
      <c r="CF116" s="75"/>
      <c r="CG116" s="75"/>
      <c r="CH116" s="75"/>
      <c r="CI116" s="75"/>
      <c r="CJ116" s="75"/>
      <c r="CK116" s="75"/>
      <c r="CL116" s="75"/>
      <c r="CM116" s="75"/>
      <c r="CN116" s="75"/>
      <c r="CO116" s="75"/>
      <c r="CP116" s="75"/>
      <c r="CQ116" s="75"/>
      <c r="CR116" s="75"/>
      <c r="CS116" s="75"/>
      <c r="CT116" s="75"/>
      <c r="CU116" s="75"/>
      <c r="CV116" s="75">
        <f>+'[6]JUNIO 2015'!$H$782</f>
        <v>3045000</v>
      </c>
      <c r="CW116" s="25">
        <f t="shared" si="170"/>
        <v>0.84775</v>
      </c>
      <c r="CX116" s="75">
        <f t="shared" si="171"/>
        <v>16955000</v>
      </c>
      <c r="CY116" s="75">
        <f t="shared" si="189"/>
        <v>0</v>
      </c>
      <c r="CZ116" s="75"/>
      <c r="DA116" s="75"/>
      <c r="DB116" s="75">
        <f t="shared" si="190"/>
        <v>0</v>
      </c>
      <c r="DC116" s="75"/>
      <c r="DD116" s="75">
        <f t="shared" si="191"/>
        <v>0</v>
      </c>
      <c r="DE116" s="75">
        <f t="shared" si="191"/>
        <v>0</v>
      </c>
      <c r="DF116" s="75"/>
      <c r="DG116" s="75">
        <f t="shared" si="192"/>
        <v>0</v>
      </c>
      <c r="DH116" s="75">
        <f t="shared" si="192"/>
        <v>0</v>
      </c>
      <c r="DI116" s="75"/>
      <c r="DJ116" s="75">
        <f t="shared" si="193"/>
        <v>0</v>
      </c>
      <c r="DK116" s="75">
        <f t="shared" si="193"/>
        <v>0</v>
      </c>
      <c r="DL116" s="75">
        <f t="shared" si="193"/>
        <v>15000000</v>
      </c>
      <c r="DM116" s="75">
        <f t="shared" si="194"/>
        <v>0</v>
      </c>
      <c r="DN116" s="75">
        <f t="shared" si="181"/>
        <v>0</v>
      </c>
      <c r="DO116" s="75">
        <f t="shared" si="195"/>
        <v>0</v>
      </c>
      <c r="DP116" s="75">
        <f t="shared" si="195"/>
        <v>0</v>
      </c>
      <c r="DQ116" s="75"/>
      <c r="DR116" s="75">
        <f t="shared" si="196"/>
        <v>1955000</v>
      </c>
    </row>
    <row r="117" spans="1:124" ht="33" customHeight="1" x14ac:dyDescent="0.25">
      <c r="A117" s="258"/>
      <c r="B117" s="81" t="s">
        <v>176</v>
      </c>
      <c r="C117" s="82" t="s">
        <v>175</v>
      </c>
      <c r="D117" s="81" t="s">
        <v>174</v>
      </c>
      <c r="E117" s="97">
        <v>301</v>
      </c>
      <c r="F117" s="78" t="s">
        <v>166</v>
      </c>
      <c r="G117" s="227">
        <v>900000000</v>
      </c>
      <c r="H117" s="79">
        <f t="shared" si="155"/>
        <v>1092351728</v>
      </c>
      <c r="I117" s="79">
        <f t="shared" si="156"/>
        <v>10335158</v>
      </c>
      <c r="J117" s="78"/>
      <c r="K117" s="78"/>
      <c r="L117" s="78"/>
      <c r="M117" s="75">
        <f t="shared" si="157"/>
        <v>1102686886</v>
      </c>
      <c r="N117" s="75">
        <v>24079469</v>
      </c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>
        <v>52000000</v>
      </c>
      <c r="AB117" s="75">
        <v>109019196</v>
      </c>
      <c r="AC117" s="75">
        <v>47588221</v>
      </c>
      <c r="AD117" s="75">
        <v>870000000</v>
      </c>
      <c r="AE117" s="75"/>
      <c r="AF117" s="75"/>
      <c r="AG117" s="75"/>
      <c r="AI117" s="25">
        <f t="shared" si="158"/>
        <v>0.99914340325255302</v>
      </c>
      <c r="AJ117" s="75">
        <f t="shared" si="159"/>
        <v>1101742328</v>
      </c>
      <c r="AK117" s="75">
        <f>+'[2]JULIO 2015'!$J$928</f>
        <v>23688299</v>
      </c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>
        <f>+'[6]JUNIO 2015'!$W$788</f>
        <v>52000000</v>
      </c>
      <c r="AY117" s="75">
        <f>+'[6]JUNIO 2015'!$X$788</f>
        <v>109019196</v>
      </c>
      <c r="AZ117" s="75">
        <f>+'[2]JULIO 2015'!$Y$928</f>
        <v>47034833</v>
      </c>
      <c r="BA117" s="75">
        <f>+'[6]JUNIO 2015'!$Z$788</f>
        <v>870000000</v>
      </c>
      <c r="BB117" s="75"/>
      <c r="BC117" s="75"/>
      <c r="BD117" s="75"/>
      <c r="BE117" s="25">
        <f t="shared" si="160"/>
        <v>8.5659674744698044E-4</v>
      </c>
      <c r="BF117" s="75">
        <f t="shared" si="161"/>
        <v>944558</v>
      </c>
      <c r="BG117" s="75">
        <f t="shared" si="182"/>
        <v>391170</v>
      </c>
      <c r="BH117" s="75">
        <f t="shared" si="183"/>
        <v>0</v>
      </c>
      <c r="BI117" s="75"/>
      <c r="BJ117" s="75">
        <f t="shared" si="184"/>
        <v>0</v>
      </c>
      <c r="BK117" s="75"/>
      <c r="BL117" s="75">
        <f t="shared" si="185"/>
        <v>0</v>
      </c>
      <c r="BM117" s="75">
        <f t="shared" si="185"/>
        <v>0</v>
      </c>
      <c r="BN117" s="75"/>
      <c r="BO117" s="75"/>
      <c r="BP117" s="75"/>
      <c r="BQ117" s="75"/>
      <c r="BR117" s="75">
        <f t="shared" si="197"/>
        <v>0</v>
      </c>
      <c r="BS117" s="75">
        <f t="shared" si="197"/>
        <v>0</v>
      </c>
      <c r="BT117" s="75">
        <f t="shared" si="197"/>
        <v>0</v>
      </c>
      <c r="BU117" s="75">
        <f t="shared" si="197"/>
        <v>0</v>
      </c>
      <c r="BV117" s="75">
        <f t="shared" si="180"/>
        <v>553388</v>
      </c>
      <c r="BW117" s="75">
        <f t="shared" si="187"/>
        <v>0</v>
      </c>
      <c r="BX117" s="75"/>
      <c r="BY117" s="75"/>
      <c r="BZ117" s="75">
        <f t="shared" si="188"/>
        <v>0</v>
      </c>
      <c r="CA117" s="25">
        <f t="shared" si="168"/>
        <v>0.99062729580698028</v>
      </c>
      <c r="CB117" s="75">
        <f t="shared" si="169"/>
        <v>1092351728</v>
      </c>
      <c r="CC117" s="75">
        <f>+'[1]AGOSTO 2015'!$H$1050+'[1]AGOSTO 2015'!$H$1064+'[1]AGOSTO 2015'!$H$1066</f>
        <v>23245422</v>
      </c>
      <c r="CD117" s="75"/>
      <c r="CE117" s="75"/>
      <c r="CF117" s="75"/>
      <c r="CG117" s="75"/>
      <c r="CH117" s="75"/>
      <c r="CI117" s="75"/>
      <c r="CJ117" s="75"/>
      <c r="CK117" s="75"/>
      <c r="CL117" s="75"/>
      <c r="CM117" s="75"/>
      <c r="CN117" s="75"/>
      <c r="CO117" s="75"/>
      <c r="CP117" s="75">
        <f>+'[1]AGOSTO 2015'!$H$1059+'[1]AGOSTO 2015'!$H$1062</f>
        <v>52000000</v>
      </c>
      <c r="CQ117" s="75">
        <f>+'[1]AGOSTO 2015'!$H$1052</f>
        <v>108815808</v>
      </c>
      <c r="CR117" s="75">
        <f>+'[1]AGOSTO 2015'!$H$1057+'[1]AGOSTO 2015'!$H$1061+'[1]AGOSTO 2015'!$H$1068</f>
        <v>38290498</v>
      </c>
      <c r="CS117" s="75">
        <f>+'[3]ABRIL 2015'!$H$632</f>
        <v>870000000</v>
      </c>
      <c r="CT117" s="75"/>
      <c r="CU117" s="75"/>
      <c r="CV117" s="75"/>
      <c r="CW117" s="25">
        <f t="shared" si="170"/>
        <v>9.3727041930197208E-3</v>
      </c>
      <c r="CX117" s="75">
        <f t="shared" si="171"/>
        <v>10335158</v>
      </c>
      <c r="CY117" s="75">
        <f t="shared" si="189"/>
        <v>834047</v>
      </c>
      <c r="CZ117" s="75"/>
      <c r="DA117" s="75"/>
      <c r="DB117" s="75">
        <f t="shared" si="190"/>
        <v>0</v>
      </c>
      <c r="DC117" s="75"/>
      <c r="DD117" s="75">
        <f t="shared" si="191"/>
        <v>0</v>
      </c>
      <c r="DE117" s="75">
        <f t="shared" si="191"/>
        <v>0</v>
      </c>
      <c r="DF117" s="75"/>
      <c r="DG117" s="75">
        <f t="shared" si="192"/>
        <v>0</v>
      </c>
      <c r="DH117" s="75">
        <f t="shared" si="192"/>
        <v>0</v>
      </c>
      <c r="DI117" s="75"/>
      <c r="DJ117" s="75">
        <f t="shared" si="193"/>
        <v>0</v>
      </c>
      <c r="DK117" s="75">
        <f t="shared" si="193"/>
        <v>0</v>
      </c>
      <c r="DL117" s="75">
        <f t="shared" si="193"/>
        <v>0</v>
      </c>
      <c r="DM117" s="75">
        <f t="shared" si="194"/>
        <v>203388</v>
      </c>
      <c r="DN117" s="75">
        <f t="shared" si="181"/>
        <v>9297723</v>
      </c>
      <c r="DO117" s="75">
        <f t="shared" si="195"/>
        <v>0</v>
      </c>
      <c r="DP117" s="75">
        <f t="shared" si="195"/>
        <v>0</v>
      </c>
      <c r="DQ117" s="75"/>
      <c r="DR117" s="75">
        <f t="shared" si="196"/>
        <v>0</v>
      </c>
    </row>
    <row r="118" spans="1:124" ht="36" customHeight="1" x14ac:dyDescent="0.25">
      <c r="A118" s="258"/>
      <c r="B118" s="81"/>
      <c r="C118" s="82" t="s">
        <v>173</v>
      </c>
      <c r="D118" s="81" t="s">
        <v>172</v>
      </c>
      <c r="E118" s="97">
        <v>301</v>
      </c>
      <c r="F118" s="78" t="s">
        <v>166</v>
      </c>
      <c r="G118" s="228"/>
      <c r="H118" s="79">
        <f t="shared" si="155"/>
        <v>10435017</v>
      </c>
      <c r="I118" s="79">
        <f t="shared" si="156"/>
        <v>4564983</v>
      </c>
      <c r="J118" s="78"/>
      <c r="K118" s="78"/>
      <c r="L118" s="78"/>
      <c r="M118" s="75">
        <f t="shared" si="157"/>
        <v>15000000</v>
      </c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>
        <v>15000000</v>
      </c>
      <c r="AE118" s="75"/>
      <c r="AF118" s="75"/>
      <c r="AG118" s="75"/>
      <c r="AI118" s="25">
        <f t="shared" si="158"/>
        <v>1</v>
      </c>
      <c r="AJ118" s="75">
        <f t="shared" si="159"/>
        <v>15000000</v>
      </c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>
        <f>+'[9]ENERO 2015'!$W$362</f>
        <v>15000000</v>
      </c>
      <c r="BB118" s="75"/>
      <c r="BC118" s="75"/>
      <c r="BD118" s="75"/>
      <c r="BE118" s="25">
        <f t="shared" si="160"/>
        <v>0</v>
      </c>
      <c r="BF118" s="75">
        <f t="shared" si="161"/>
        <v>0</v>
      </c>
      <c r="BG118" s="75">
        <f t="shared" si="182"/>
        <v>0</v>
      </c>
      <c r="BH118" s="75">
        <f t="shared" si="183"/>
        <v>0</v>
      </c>
      <c r="BI118" s="75"/>
      <c r="BJ118" s="75">
        <f t="shared" si="184"/>
        <v>0</v>
      </c>
      <c r="BK118" s="75"/>
      <c r="BL118" s="75">
        <f t="shared" si="185"/>
        <v>0</v>
      </c>
      <c r="BM118" s="75">
        <f t="shared" si="185"/>
        <v>0</v>
      </c>
      <c r="BN118" s="75"/>
      <c r="BO118" s="75"/>
      <c r="BP118" s="75"/>
      <c r="BQ118" s="75"/>
      <c r="BR118" s="75">
        <f t="shared" si="197"/>
        <v>0</v>
      </c>
      <c r="BS118" s="75">
        <f t="shared" si="197"/>
        <v>0</v>
      </c>
      <c r="BT118" s="75">
        <f t="shared" si="197"/>
        <v>0</v>
      </c>
      <c r="BU118" s="75">
        <f t="shared" si="197"/>
        <v>0</v>
      </c>
      <c r="BV118" s="75">
        <f t="shared" si="180"/>
        <v>0</v>
      </c>
      <c r="BW118" s="75">
        <f t="shared" si="187"/>
        <v>0</v>
      </c>
      <c r="BX118" s="75"/>
      <c r="BY118" s="75"/>
      <c r="BZ118" s="75">
        <f t="shared" si="188"/>
        <v>0</v>
      </c>
      <c r="CA118" s="25">
        <f t="shared" si="168"/>
        <v>0.69566779999999995</v>
      </c>
      <c r="CB118" s="75">
        <f t="shared" si="169"/>
        <v>10435017</v>
      </c>
      <c r="CC118" s="75"/>
      <c r="CD118" s="75"/>
      <c r="CE118" s="75"/>
      <c r="CF118" s="75"/>
      <c r="CG118" s="75"/>
      <c r="CH118" s="75"/>
      <c r="CI118" s="75"/>
      <c r="CJ118" s="75"/>
      <c r="CK118" s="75"/>
      <c r="CL118" s="75"/>
      <c r="CM118" s="75"/>
      <c r="CN118" s="75"/>
      <c r="CO118" s="75"/>
      <c r="CP118" s="75"/>
      <c r="CQ118" s="75"/>
      <c r="CR118" s="75"/>
      <c r="CS118" s="75">
        <f>+'[1]AGOSTO 2015'!$H$1074</f>
        <v>10435017</v>
      </c>
      <c r="CT118" s="75"/>
      <c r="CU118" s="75"/>
      <c r="CV118" s="75"/>
      <c r="CW118" s="25">
        <f t="shared" si="170"/>
        <v>0.30433220000000005</v>
      </c>
      <c r="CX118" s="75">
        <f t="shared" si="171"/>
        <v>4564983</v>
      </c>
      <c r="CY118" s="75">
        <f t="shared" si="189"/>
        <v>0</v>
      </c>
      <c r="CZ118" s="75"/>
      <c r="DA118" s="75"/>
      <c r="DB118" s="75">
        <f t="shared" si="190"/>
        <v>0</v>
      </c>
      <c r="DC118" s="75"/>
      <c r="DD118" s="75">
        <f t="shared" si="191"/>
        <v>0</v>
      </c>
      <c r="DE118" s="75">
        <f t="shared" si="191"/>
        <v>0</v>
      </c>
      <c r="DF118" s="75"/>
      <c r="DG118" s="75">
        <f t="shared" si="192"/>
        <v>0</v>
      </c>
      <c r="DH118" s="75">
        <f t="shared" si="192"/>
        <v>0</v>
      </c>
      <c r="DI118" s="75"/>
      <c r="DJ118" s="75">
        <f t="shared" si="193"/>
        <v>0</v>
      </c>
      <c r="DK118" s="75">
        <f t="shared" si="193"/>
        <v>0</v>
      </c>
      <c r="DL118" s="75">
        <f t="shared" si="193"/>
        <v>0</v>
      </c>
      <c r="DM118" s="75">
        <f t="shared" si="194"/>
        <v>0</v>
      </c>
      <c r="DN118" s="75">
        <f t="shared" si="181"/>
        <v>0</v>
      </c>
      <c r="DO118" s="75">
        <f t="shared" si="195"/>
        <v>4564983</v>
      </c>
      <c r="DP118" s="75">
        <f t="shared" si="195"/>
        <v>0</v>
      </c>
      <c r="DQ118" s="75"/>
      <c r="DR118" s="75">
        <f t="shared" si="196"/>
        <v>0</v>
      </c>
    </row>
    <row r="119" spans="1:124" ht="33" customHeight="1" x14ac:dyDescent="0.25">
      <c r="A119" s="258"/>
      <c r="B119" s="85"/>
      <c r="C119" s="82" t="s">
        <v>171</v>
      </c>
      <c r="D119" s="81" t="s">
        <v>170</v>
      </c>
      <c r="E119" s="96">
        <v>301</v>
      </c>
      <c r="F119" s="78" t="s">
        <v>166</v>
      </c>
      <c r="G119" s="229"/>
      <c r="H119" s="79">
        <f t="shared" si="155"/>
        <v>118560400</v>
      </c>
      <c r="I119" s="79">
        <f t="shared" si="156"/>
        <v>34239600</v>
      </c>
      <c r="J119" s="78"/>
      <c r="K119" s="78"/>
      <c r="L119" s="78"/>
      <c r="M119" s="75">
        <f t="shared" si="157"/>
        <v>152800000</v>
      </c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>
        <v>137800000</v>
      </c>
      <c r="AC119" s="75"/>
      <c r="AD119" s="75">
        <v>15000000</v>
      </c>
      <c r="AE119" s="75"/>
      <c r="AF119" s="75"/>
      <c r="AG119" s="75"/>
      <c r="AI119" s="25">
        <f t="shared" si="158"/>
        <v>1</v>
      </c>
      <c r="AJ119" s="75">
        <f t="shared" si="159"/>
        <v>152800000</v>
      </c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>
        <f>+'[5]FEBRERO 2015'!$W$469</f>
        <v>137800000</v>
      </c>
      <c r="AZ119" s="75"/>
      <c r="BA119" s="75">
        <f>+'[9]ENERO 2015'!$W$367</f>
        <v>15000000</v>
      </c>
      <c r="BB119" s="75"/>
      <c r="BC119" s="75"/>
      <c r="BD119" s="75"/>
      <c r="BE119" s="25">
        <f t="shared" si="160"/>
        <v>0</v>
      </c>
      <c r="BF119" s="75">
        <f t="shared" si="161"/>
        <v>0</v>
      </c>
      <c r="BG119" s="75">
        <f t="shared" si="182"/>
        <v>0</v>
      </c>
      <c r="BH119" s="75">
        <f t="shared" si="183"/>
        <v>0</v>
      </c>
      <c r="BI119" s="75"/>
      <c r="BJ119" s="75">
        <f t="shared" si="184"/>
        <v>0</v>
      </c>
      <c r="BK119" s="75"/>
      <c r="BL119" s="75">
        <f t="shared" si="185"/>
        <v>0</v>
      </c>
      <c r="BM119" s="75">
        <f t="shared" si="185"/>
        <v>0</v>
      </c>
      <c r="BN119" s="75"/>
      <c r="BO119" s="75"/>
      <c r="BP119" s="75"/>
      <c r="BQ119" s="75"/>
      <c r="BR119" s="75">
        <f t="shared" si="197"/>
        <v>0</v>
      </c>
      <c r="BS119" s="75">
        <f t="shared" si="197"/>
        <v>0</v>
      </c>
      <c r="BT119" s="75">
        <f t="shared" si="197"/>
        <v>0</v>
      </c>
      <c r="BU119" s="75">
        <f t="shared" si="197"/>
        <v>0</v>
      </c>
      <c r="BV119" s="75">
        <f t="shared" si="180"/>
        <v>0</v>
      </c>
      <c r="BW119" s="75">
        <f t="shared" si="187"/>
        <v>0</v>
      </c>
      <c r="BX119" s="75"/>
      <c r="BY119" s="75"/>
      <c r="BZ119" s="75">
        <f t="shared" si="188"/>
        <v>0</v>
      </c>
      <c r="CA119" s="25">
        <f t="shared" si="168"/>
        <v>0.77591884816753931</v>
      </c>
      <c r="CB119" s="75">
        <f t="shared" si="169"/>
        <v>118560400</v>
      </c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>
        <f>+'[1]AGOSTO 2015'!$H$1093</f>
        <v>115983000</v>
      </c>
      <c r="CR119" s="75"/>
      <c r="CS119" s="75">
        <f>+'[7]MAYO 2015'!$H$689</f>
        <v>2577400</v>
      </c>
      <c r="CT119" s="75"/>
      <c r="CU119" s="75"/>
      <c r="CV119" s="75"/>
      <c r="CW119" s="25">
        <f t="shared" si="170"/>
        <v>0.22408115183246069</v>
      </c>
      <c r="CX119" s="75">
        <f t="shared" si="171"/>
        <v>34239600</v>
      </c>
      <c r="CY119" s="75">
        <f t="shared" si="189"/>
        <v>0</v>
      </c>
      <c r="CZ119" s="75"/>
      <c r="DA119" s="75"/>
      <c r="DB119" s="75">
        <f t="shared" si="190"/>
        <v>0</v>
      </c>
      <c r="DC119" s="75"/>
      <c r="DD119" s="75">
        <f t="shared" si="191"/>
        <v>0</v>
      </c>
      <c r="DE119" s="75">
        <f t="shared" si="191"/>
        <v>0</v>
      </c>
      <c r="DF119" s="75"/>
      <c r="DG119" s="75">
        <f t="shared" si="192"/>
        <v>0</v>
      </c>
      <c r="DH119" s="75">
        <f t="shared" si="192"/>
        <v>0</v>
      </c>
      <c r="DI119" s="75"/>
      <c r="DJ119" s="75">
        <f t="shared" si="193"/>
        <v>0</v>
      </c>
      <c r="DK119" s="75">
        <f t="shared" si="193"/>
        <v>0</v>
      </c>
      <c r="DL119" s="75">
        <f t="shared" si="193"/>
        <v>0</v>
      </c>
      <c r="DM119" s="75">
        <f t="shared" si="194"/>
        <v>21817000</v>
      </c>
      <c r="DN119" s="75">
        <f t="shared" si="181"/>
        <v>0</v>
      </c>
      <c r="DO119" s="75">
        <f t="shared" si="195"/>
        <v>12422600</v>
      </c>
      <c r="DP119" s="75">
        <f t="shared" si="195"/>
        <v>0</v>
      </c>
      <c r="DQ119" s="75"/>
      <c r="DR119" s="75">
        <f t="shared" si="196"/>
        <v>0</v>
      </c>
    </row>
    <row r="120" spans="1:124" ht="27.75" customHeight="1" x14ac:dyDescent="0.25">
      <c r="A120" s="258"/>
      <c r="B120" s="85" t="s">
        <v>169</v>
      </c>
      <c r="C120" s="82" t="s">
        <v>168</v>
      </c>
      <c r="D120" s="81" t="s">
        <v>167</v>
      </c>
      <c r="E120" s="96">
        <v>301</v>
      </c>
      <c r="F120" s="78" t="s">
        <v>166</v>
      </c>
      <c r="G120" s="78">
        <v>50000000</v>
      </c>
      <c r="H120" s="79">
        <f t="shared" si="155"/>
        <v>42473434</v>
      </c>
      <c r="I120" s="79">
        <f t="shared" si="156"/>
        <v>7526566</v>
      </c>
      <c r="J120" s="78"/>
      <c r="K120" s="78"/>
      <c r="L120" s="78"/>
      <c r="M120" s="75">
        <f t="shared" si="157"/>
        <v>50000000</v>
      </c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>
        <v>50000000</v>
      </c>
      <c r="AB120" s="75"/>
      <c r="AC120" s="75"/>
      <c r="AD120" s="75"/>
      <c r="AE120" s="75"/>
      <c r="AF120" s="75"/>
      <c r="AG120" s="75"/>
      <c r="AI120" s="25">
        <f t="shared" si="158"/>
        <v>1</v>
      </c>
      <c r="AJ120" s="75">
        <f t="shared" si="159"/>
        <v>50000000</v>
      </c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>
        <f>+'[9]ENERO 2015'!$T$374</f>
        <v>50000000</v>
      </c>
      <c r="AY120" s="75"/>
      <c r="AZ120" s="75"/>
      <c r="BA120" s="75"/>
      <c r="BB120" s="75"/>
      <c r="BC120" s="75"/>
      <c r="BD120" s="75"/>
      <c r="BE120" s="25">
        <f t="shared" si="160"/>
        <v>0</v>
      </c>
      <c r="BF120" s="75">
        <f t="shared" si="161"/>
        <v>0</v>
      </c>
      <c r="BG120" s="75">
        <f t="shared" si="182"/>
        <v>0</v>
      </c>
      <c r="BH120" s="75">
        <f t="shared" si="183"/>
        <v>0</v>
      </c>
      <c r="BI120" s="75"/>
      <c r="BJ120" s="75">
        <f t="shared" si="184"/>
        <v>0</v>
      </c>
      <c r="BK120" s="75"/>
      <c r="BL120" s="75">
        <f t="shared" si="185"/>
        <v>0</v>
      </c>
      <c r="BM120" s="75">
        <f t="shared" si="185"/>
        <v>0</v>
      </c>
      <c r="BN120" s="75"/>
      <c r="BO120" s="75"/>
      <c r="BP120" s="75"/>
      <c r="BQ120" s="75"/>
      <c r="BR120" s="75">
        <f t="shared" si="197"/>
        <v>0</v>
      </c>
      <c r="BS120" s="75">
        <f t="shared" si="197"/>
        <v>0</v>
      </c>
      <c r="BT120" s="75">
        <f t="shared" si="197"/>
        <v>0</v>
      </c>
      <c r="BU120" s="75">
        <f t="shared" si="197"/>
        <v>0</v>
      </c>
      <c r="BV120" s="75">
        <f t="shared" si="180"/>
        <v>0</v>
      </c>
      <c r="BW120" s="75">
        <f t="shared" si="187"/>
        <v>0</v>
      </c>
      <c r="BX120" s="75"/>
      <c r="BY120" s="75"/>
      <c r="BZ120" s="75">
        <f t="shared" si="188"/>
        <v>0</v>
      </c>
      <c r="CA120" s="25">
        <f t="shared" si="168"/>
        <v>0.84946867999999998</v>
      </c>
      <c r="CB120" s="75">
        <f t="shared" si="169"/>
        <v>42473434</v>
      </c>
      <c r="CC120" s="75"/>
      <c r="CD120" s="75"/>
      <c r="CE120" s="75"/>
      <c r="CF120" s="75"/>
      <c r="CG120" s="75"/>
      <c r="CH120" s="75"/>
      <c r="CI120" s="75"/>
      <c r="CJ120" s="75"/>
      <c r="CK120" s="75"/>
      <c r="CL120" s="75"/>
      <c r="CM120" s="75"/>
      <c r="CN120" s="75"/>
      <c r="CO120" s="75"/>
      <c r="CP120" s="75">
        <f>+'[1]AGOSTO 2015'!$H$1135</f>
        <v>42473434</v>
      </c>
      <c r="CQ120" s="75"/>
      <c r="CR120" s="75"/>
      <c r="CS120" s="75"/>
      <c r="CT120" s="75"/>
      <c r="CU120" s="75"/>
      <c r="CV120" s="75"/>
      <c r="CW120" s="25">
        <f t="shared" si="170"/>
        <v>0.15053132000000002</v>
      </c>
      <c r="CX120" s="75">
        <f t="shared" si="171"/>
        <v>7526566</v>
      </c>
      <c r="CY120" s="75">
        <f t="shared" si="189"/>
        <v>0</v>
      </c>
      <c r="CZ120" s="75"/>
      <c r="DA120" s="75"/>
      <c r="DB120" s="75">
        <f t="shared" si="190"/>
        <v>0</v>
      </c>
      <c r="DC120" s="75"/>
      <c r="DD120" s="75">
        <f t="shared" si="191"/>
        <v>0</v>
      </c>
      <c r="DE120" s="75">
        <f t="shared" si="191"/>
        <v>0</v>
      </c>
      <c r="DF120" s="75"/>
      <c r="DG120" s="75">
        <f t="shared" si="192"/>
        <v>0</v>
      </c>
      <c r="DH120" s="75">
        <f t="shared" si="192"/>
        <v>0</v>
      </c>
      <c r="DI120" s="75"/>
      <c r="DJ120" s="75">
        <f t="shared" si="193"/>
        <v>0</v>
      </c>
      <c r="DK120" s="75">
        <f t="shared" si="193"/>
        <v>0</v>
      </c>
      <c r="DL120" s="75">
        <f t="shared" si="193"/>
        <v>7526566</v>
      </c>
      <c r="DM120" s="75">
        <f t="shared" si="194"/>
        <v>0</v>
      </c>
      <c r="DN120" s="75">
        <f t="shared" si="181"/>
        <v>0</v>
      </c>
      <c r="DO120" s="75">
        <f t="shared" si="195"/>
        <v>0</v>
      </c>
      <c r="DP120" s="75">
        <f t="shared" si="195"/>
        <v>0</v>
      </c>
      <c r="DQ120" s="75"/>
      <c r="DR120" s="75">
        <f t="shared" si="196"/>
        <v>0</v>
      </c>
    </row>
    <row r="121" spans="1:124" s="68" customFormat="1" ht="24" customHeight="1" thickBot="1" x14ac:dyDescent="0.3">
      <c r="A121" s="95"/>
      <c r="B121" s="243" t="s">
        <v>165</v>
      </c>
      <c r="C121" s="244"/>
      <c r="D121" s="244"/>
      <c r="E121" s="244"/>
      <c r="F121" s="245"/>
      <c r="G121" s="69">
        <f>SUM(G105:G120)</f>
        <v>1952000000</v>
      </c>
      <c r="H121" s="69">
        <f>SUM(H105:H120)</f>
        <v>1889977571</v>
      </c>
      <c r="I121" s="69">
        <f>SUM(I105:I120)</f>
        <v>623509315</v>
      </c>
      <c r="J121" s="94"/>
      <c r="K121" s="94"/>
      <c r="L121" s="94"/>
      <c r="M121" s="69">
        <f t="shared" ref="M121:AG121" si="198">SUM(M105:M120)</f>
        <v>2513486886</v>
      </c>
      <c r="N121" s="69">
        <f t="shared" si="198"/>
        <v>104079469</v>
      </c>
      <c r="O121" s="69">
        <f t="shared" si="198"/>
        <v>0</v>
      </c>
      <c r="P121" s="69">
        <f t="shared" si="198"/>
        <v>0</v>
      </c>
      <c r="Q121" s="69">
        <f t="shared" si="198"/>
        <v>0</v>
      </c>
      <c r="R121" s="69">
        <f t="shared" si="198"/>
        <v>0</v>
      </c>
      <c r="S121" s="69">
        <f t="shared" si="198"/>
        <v>0</v>
      </c>
      <c r="T121" s="69">
        <f t="shared" si="198"/>
        <v>0</v>
      </c>
      <c r="U121" s="69">
        <f t="shared" si="198"/>
        <v>0</v>
      </c>
      <c r="V121" s="69">
        <f t="shared" si="198"/>
        <v>0</v>
      </c>
      <c r="W121" s="69">
        <f t="shared" si="198"/>
        <v>0</v>
      </c>
      <c r="X121" s="69">
        <f t="shared" si="198"/>
        <v>0</v>
      </c>
      <c r="Y121" s="69">
        <f t="shared" si="198"/>
        <v>0</v>
      </c>
      <c r="Z121" s="69">
        <f t="shared" si="198"/>
        <v>0</v>
      </c>
      <c r="AA121" s="69">
        <f t="shared" si="198"/>
        <v>728406867</v>
      </c>
      <c r="AB121" s="69">
        <f t="shared" si="198"/>
        <v>346819196</v>
      </c>
      <c r="AC121" s="69">
        <f t="shared" si="198"/>
        <v>84573365</v>
      </c>
      <c r="AD121" s="69">
        <f t="shared" si="198"/>
        <v>1181607989</v>
      </c>
      <c r="AE121" s="69">
        <f t="shared" si="198"/>
        <v>0</v>
      </c>
      <c r="AF121" s="69">
        <f t="shared" si="198"/>
        <v>0</v>
      </c>
      <c r="AG121" s="69">
        <f t="shared" si="198"/>
        <v>68000000</v>
      </c>
      <c r="AI121" s="70">
        <f t="shared" si="158"/>
        <v>0.96501378125750048</v>
      </c>
      <c r="AJ121" s="69">
        <f>SUM(AJ105:AJ120)</f>
        <v>2425549484</v>
      </c>
      <c r="AK121" s="69">
        <f>SUM(AK105:AK120)</f>
        <v>103688299</v>
      </c>
      <c r="AL121" s="69">
        <f>SUM(AL105:AL120)</f>
        <v>0</v>
      </c>
      <c r="AM121" s="69"/>
      <c r="AN121" s="69">
        <f>SUM(AN105:AN120)</f>
        <v>0</v>
      </c>
      <c r="AO121" s="69"/>
      <c r="AP121" s="69">
        <f t="shared" ref="AP121:BD121" si="199">SUM(AP105:AP120)</f>
        <v>0</v>
      </c>
      <c r="AQ121" s="69">
        <f t="shared" si="199"/>
        <v>0</v>
      </c>
      <c r="AR121" s="69">
        <f t="shared" si="199"/>
        <v>0</v>
      </c>
      <c r="AS121" s="69">
        <f t="shared" si="199"/>
        <v>0</v>
      </c>
      <c r="AT121" s="69">
        <f t="shared" si="199"/>
        <v>0</v>
      </c>
      <c r="AU121" s="69">
        <f t="shared" si="199"/>
        <v>0</v>
      </c>
      <c r="AV121" s="69">
        <f t="shared" si="199"/>
        <v>0</v>
      </c>
      <c r="AW121" s="69">
        <f t="shared" si="199"/>
        <v>0</v>
      </c>
      <c r="AX121" s="69">
        <f t="shared" si="199"/>
        <v>709199167</v>
      </c>
      <c r="AY121" s="69">
        <f t="shared" si="199"/>
        <v>346819196</v>
      </c>
      <c r="AZ121" s="69">
        <f t="shared" si="199"/>
        <v>47034833</v>
      </c>
      <c r="BA121" s="69">
        <f t="shared" si="199"/>
        <v>1157607989</v>
      </c>
      <c r="BB121" s="69">
        <f t="shared" si="199"/>
        <v>0</v>
      </c>
      <c r="BC121" s="69">
        <f t="shared" si="199"/>
        <v>0</v>
      </c>
      <c r="BD121" s="69">
        <f t="shared" si="199"/>
        <v>61200000</v>
      </c>
      <c r="BE121" s="70">
        <f t="shared" si="160"/>
        <v>3.498621874249952E-2</v>
      </c>
      <c r="BF121" s="69">
        <f>SUM(BF105:BF120)</f>
        <v>87937402</v>
      </c>
      <c r="BG121" s="69">
        <f>SUM(BG105:BG120)</f>
        <v>391170</v>
      </c>
      <c r="BH121" s="69">
        <f>SUM(BH105:BH120)</f>
        <v>0</v>
      </c>
      <c r="BI121" s="69"/>
      <c r="BJ121" s="69">
        <f t="shared" ref="BJ121:BZ121" si="200">SUM(BJ105:BJ120)</f>
        <v>0</v>
      </c>
      <c r="BK121" s="69">
        <f t="shared" si="200"/>
        <v>0</v>
      </c>
      <c r="BL121" s="69">
        <f t="shared" si="200"/>
        <v>0</v>
      </c>
      <c r="BM121" s="69">
        <f t="shared" si="200"/>
        <v>0</v>
      </c>
      <c r="BN121" s="69">
        <f t="shared" si="200"/>
        <v>0</v>
      </c>
      <c r="BO121" s="69">
        <f t="shared" si="200"/>
        <v>0</v>
      </c>
      <c r="BP121" s="69">
        <f t="shared" si="200"/>
        <v>0</v>
      </c>
      <c r="BQ121" s="69">
        <f t="shared" si="200"/>
        <v>0</v>
      </c>
      <c r="BR121" s="69">
        <f t="shared" si="200"/>
        <v>0</v>
      </c>
      <c r="BS121" s="69">
        <f t="shared" si="200"/>
        <v>0</v>
      </c>
      <c r="BT121" s="69">
        <f t="shared" si="200"/>
        <v>19207700</v>
      </c>
      <c r="BU121" s="69">
        <f t="shared" si="200"/>
        <v>0</v>
      </c>
      <c r="BV121" s="69">
        <f t="shared" si="200"/>
        <v>37538532</v>
      </c>
      <c r="BW121" s="69">
        <f t="shared" si="200"/>
        <v>24000000</v>
      </c>
      <c r="BX121" s="69">
        <f t="shared" si="200"/>
        <v>0</v>
      </c>
      <c r="BY121" s="69">
        <f t="shared" si="200"/>
        <v>0</v>
      </c>
      <c r="BZ121" s="69">
        <f t="shared" si="200"/>
        <v>6800000</v>
      </c>
      <c r="CA121" s="70">
        <f t="shared" si="168"/>
        <v>0.75193452630570046</v>
      </c>
      <c r="CB121" s="69">
        <f>SUM(CB105:CB120)</f>
        <v>1889977571</v>
      </c>
      <c r="CC121" s="69">
        <f>SUM(CC105:CC120)</f>
        <v>44765799</v>
      </c>
      <c r="CD121" s="69">
        <f>SUM(CD105:CD120)</f>
        <v>0</v>
      </c>
      <c r="CE121" s="69"/>
      <c r="CF121" s="69">
        <f>SUM(CF105:CF120)</f>
        <v>0</v>
      </c>
      <c r="CG121" s="69"/>
      <c r="CH121" s="69">
        <f>SUM(CH105:CH120)</f>
        <v>0</v>
      </c>
      <c r="CI121" s="69">
        <f>SUM(CI105:CI120)</f>
        <v>0</v>
      </c>
      <c r="CJ121" s="69"/>
      <c r="CK121" s="69">
        <f t="shared" ref="CK121:CV121" si="201">SUM(CK105:CK120)</f>
        <v>0</v>
      </c>
      <c r="CL121" s="69">
        <f t="shared" si="201"/>
        <v>0</v>
      </c>
      <c r="CM121" s="69">
        <f t="shared" si="201"/>
        <v>0</v>
      </c>
      <c r="CN121" s="69">
        <f t="shared" si="201"/>
        <v>0</v>
      </c>
      <c r="CO121" s="69">
        <f t="shared" si="201"/>
        <v>0</v>
      </c>
      <c r="CP121" s="69">
        <f t="shared" si="201"/>
        <v>436355867</v>
      </c>
      <c r="CQ121" s="69">
        <f t="shared" si="201"/>
        <v>324798808</v>
      </c>
      <c r="CR121" s="69">
        <f t="shared" si="201"/>
        <v>38290498</v>
      </c>
      <c r="CS121" s="69">
        <f t="shared" si="201"/>
        <v>1016162182</v>
      </c>
      <c r="CT121" s="69">
        <f t="shared" si="201"/>
        <v>0</v>
      </c>
      <c r="CU121" s="69">
        <f t="shared" si="201"/>
        <v>0</v>
      </c>
      <c r="CV121" s="69">
        <f t="shared" si="201"/>
        <v>29604417</v>
      </c>
      <c r="CW121" s="70">
        <f t="shared" si="170"/>
        <v>0.24806547369429954</v>
      </c>
      <c r="CX121" s="69">
        <f>SUM(CX105:CX120)</f>
        <v>623509315</v>
      </c>
      <c r="CY121" s="69">
        <f>SUM(CY105:CY120)</f>
        <v>59313670</v>
      </c>
      <c r="CZ121" s="69">
        <f>SUM(CZ105:CZ120)</f>
        <v>0</v>
      </c>
      <c r="DA121" s="69"/>
      <c r="DB121" s="69">
        <f t="shared" ref="DB121:DR121" si="202">SUM(DB105:DB120)</f>
        <v>0</v>
      </c>
      <c r="DC121" s="69">
        <f t="shared" si="202"/>
        <v>0</v>
      </c>
      <c r="DD121" s="69">
        <f t="shared" si="202"/>
        <v>0</v>
      </c>
      <c r="DE121" s="69">
        <f t="shared" si="202"/>
        <v>0</v>
      </c>
      <c r="DF121" s="69">
        <f t="shared" si="202"/>
        <v>0</v>
      </c>
      <c r="DG121" s="69">
        <f t="shared" si="202"/>
        <v>0</v>
      </c>
      <c r="DH121" s="69">
        <f t="shared" si="202"/>
        <v>0</v>
      </c>
      <c r="DI121" s="69">
        <f t="shared" si="202"/>
        <v>0</v>
      </c>
      <c r="DJ121" s="69">
        <f t="shared" si="202"/>
        <v>0</v>
      </c>
      <c r="DK121" s="69">
        <f t="shared" si="202"/>
        <v>0</v>
      </c>
      <c r="DL121" s="69">
        <f t="shared" si="202"/>
        <v>292051000</v>
      </c>
      <c r="DM121" s="69">
        <f t="shared" si="202"/>
        <v>22020388</v>
      </c>
      <c r="DN121" s="69">
        <f t="shared" si="202"/>
        <v>46282867</v>
      </c>
      <c r="DO121" s="69">
        <f t="shared" si="202"/>
        <v>165445807</v>
      </c>
      <c r="DP121" s="69">
        <f t="shared" si="202"/>
        <v>0</v>
      </c>
      <c r="DQ121" s="69">
        <f t="shared" si="202"/>
        <v>0</v>
      </c>
      <c r="DR121" s="93">
        <f t="shared" si="202"/>
        <v>38395583</v>
      </c>
    </row>
    <row r="122" spans="1:124" ht="67.5" customHeight="1" thickTop="1" x14ac:dyDescent="0.25">
      <c r="A122" s="246" t="s">
        <v>164</v>
      </c>
      <c r="B122" s="92" t="s">
        <v>163</v>
      </c>
      <c r="C122" s="82" t="s">
        <v>162</v>
      </c>
      <c r="D122" s="81" t="s">
        <v>161</v>
      </c>
      <c r="E122" s="80">
        <v>510</v>
      </c>
      <c r="F122" s="78" t="s">
        <v>158</v>
      </c>
      <c r="G122" s="240">
        <v>10000000</v>
      </c>
      <c r="H122" s="79">
        <f t="shared" ref="H122:H153" si="203">+CB122</f>
        <v>3000000</v>
      </c>
      <c r="I122" s="79">
        <f t="shared" ref="I122:I153" si="204">M122-H122</f>
        <v>0</v>
      </c>
      <c r="J122" s="78"/>
      <c r="K122" s="78"/>
      <c r="L122" s="78"/>
      <c r="M122" s="75">
        <f t="shared" ref="M122:M153" si="205">SUM(N122:AG122)</f>
        <v>3000000</v>
      </c>
      <c r="N122" s="75"/>
      <c r="O122" s="75"/>
      <c r="P122" s="75"/>
      <c r="Q122" s="75"/>
      <c r="R122" s="75"/>
      <c r="S122" s="75">
        <v>3000000</v>
      </c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I122" s="25">
        <f t="shared" si="158"/>
        <v>1</v>
      </c>
      <c r="AJ122" s="75">
        <f t="shared" ref="AJ122:AJ153" si="206">SUM(AK122:BD122)</f>
        <v>3000000</v>
      </c>
      <c r="AK122" s="75"/>
      <c r="AL122" s="75"/>
      <c r="AM122" s="75"/>
      <c r="AN122" s="75"/>
      <c r="AO122" s="75"/>
      <c r="AP122" s="75">
        <f>+'[4]MARZO 2015'!$N$1116</f>
        <v>3000000</v>
      </c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25">
        <f t="shared" si="160"/>
        <v>0</v>
      </c>
      <c r="BF122" s="75">
        <f t="shared" ref="BF122:BF153" si="207">SUM(BG122:BZ122)</f>
        <v>0</v>
      </c>
      <c r="BG122" s="75">
        <f t="shared" ref="BG122:BG142" si="208">+N122-AK122</f>
        <v>0</v>
      </c>
      <c r="BH122" s="75">
        <f t="shared" ref="BH122:BH142" si="209">O122-AL122</f>
        <v>0</v>
      </c>
      <c r="BI122" s="75"/>
      <c r="BJ122" s="75">
        <f t="shared" ref="BJ122:BJ142" si="210">Q122-AN122</f>
        <v>0</v>
      </c>
      <c r="BK122" s="75">
        <f t="shared" ref="BK122:BK142" si="211">R122-AO122</f>
        <v>0</v>
      </c>
      <c r="BL122" s="75">
        <f t="shared" ref="BL122:BL142" si="212">+S122-AP122</f>
        <v>0</v>
      </c>
      <c r="BM122" s="75">
        <f t="shared" ref="BM122:BM142" si="213">+T122-AQ122</f>
        <v>0</v>
      </c>
      <c r="BN122" s="75"/>
      <c r="BO122" s="75">
        <f t="shared" ref="BO122:BO142" si="214">+V122-AS122</f>
        <v>0</v>
      </c>
      <c r="BP122" s="75">
        <f t="shared" ref="BP122:BP142" si="215">+W122-AT122</f>
        <v>0</v>
      </c>
      <c r="BQ122" s="75">
        <f t="shared" ref="BQ122:BQ142" si="216">+X122-AU122</f>
        <v>0</v>
      </c>
      <c r="BR122" s="75">
        <f t="shared" ref="BR122:BR142" si="217">+Y122-AV122</f>
        <v>0</v>
      </c>
      <c r="BS122" s="75">
        <f t="shared" ref="BS122:BS142" si="218">+Z122-AW122</f>
        <v>0</v>
      </c>
      <c r="BT122" s="75">
        <f t="shared" ref="BT122:BT142" si="219">+AA122-AX122</f>
        <v>0</v>
      </c>
      <c r="BU122" s="75">
        <f t="shared" ref="BU122:BU142" si="220">+AB122-AY122</f>
        <v>0</v>
      </c>
      <c r="BV122" s="75">
        <f t="shared" ref="BV122:BV142" si="221">+AC122-AZ122</f>
        <v>0</v>
      </c>
      <c r="BW122" s="75">
        <f t="shared" ref="BW122:BW142" si="222">+AD122-BA122</f>
        <v>0</v>
      </c>
      <c r="BX122" s="75"/>
      <c r="BY122" s="75"/>
      <c r="BZ122" s="75">
        <f t="shared" ref="BZ122:BZ142" si="223">+AG122-BD122</f>
        <v>0</v>
      </c>
      <c r="CA122" s="25">
        <f t="shared" si="168"/>
        <v>1</v>
      </c>
      <c r="CB122" s="75">
        <f t="shared" ref="CB122:CB153" si="224">SUM(CC122:CV122)</f>
        <v>3000000</v>
      </c>
      <c r="CC122" s="75"/>
      <c r="CD122" s="75"/>
      <c r="CE122" s="75"/>
      <c r="CF122" s="75"/>
      <c r="CG122" s="75"/>
      <c r="CH122" s="75">
        <f>+'[4]MARZO 2015'!$H$1117</f>
        <v>3000000</v>
      </c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25">
        <f t="shared" si="170"/>
        <v>0</v>
      </c>
      <c r="CX122" s="75">
        <f t="shared" ref="CX122:CX153" si="225">SUM(CY122:DR122)</f>
        <v>0</v>
      </c>
      <c r="CY122" s="75"/>
      <c r="CZ122" s="75"/>
      <c r="DA122" s="75"/>
      <c r="DB122" s="75">
        <f t="shared" ref="DB122:DB142" si="226">Q122-CF122</f>
        <v>0</v>
      </c>
      <c r="DC122" s="75">
        <f t="shared" ref="DC122:DC142" si="227">R122-CG122</f>
        <v>0</v>
      </c>
      <c r="DD122" s="75">
        <f t="shared" ref="DD122:DD142" si="228">S122-CH122</f>
        <v>0</v>
      </c>
      <c r="DE122" s="75">
        <f t="shared" ref="DE122:DE142" si="229">T122-CI122</f>
        <v>0</v>
      </c>
      <c r="DF122" s="75"/>
      <c r="DG122" s="75">
        <f t="shared" ref="DG122:DG142" si="230">+V122-CK122</f>
        <v>0</v>
      </c>
      <c r="DH122" s="75">
        <f t="shared" ref="DH122:DH142" si="231">+W122-CL122</f>
        <v>0</v>
      </c>
      <c r="DI122" s="75"/>
      <c r="DJ122" s="75">
        <f t="shared" ref="DJ122:DJ142" si="232">Y122-CN122</f>
        <v>0</v>
      </c>
      <c r="DK122" s="75">
        <f t="shared" ref="DK122:DK142" si="233">Z122-CO122</f>
        <v>0</v>
      </c>
      <c r="DL122" s="75">
        <f t="shared" ref="DL122:DL142" si="234">AA122-CP122</f>
        <v>0</v>
      </c>
      <c r="DM122" s="75">
        <f t="shared" ref="DM122:DM142" si="235">+AB122-CQ122</f>
        <v>0</v>
      </c>
      <c r="DN122" s="75">
        <f t="shared" ref="DN122:DN142" si="236">+AC122-CR122</f>
        <v>0</v>
      </c>
      <c r="DO122" s="75">
        <f t="shared" ref="DO122:DO142" si="237">+AD122-CS122</f>
        <v>0</v>
      </c>
      <c r="DP122" s="75">
        <f t="shared" ref="DP122:DP142" si="238">+AE122-CT122</f>
        <v>0</v>
      </c>
      <c r="DQ122" s="75"/>
      <c r="DR122" s="75">
        <f t="shared" ref="DR122:DR142" si="239">+AG122-CV122</f>
        <v>0</v>
      </c>
    </row>
    <row r="123" spans="1:124" ht="68.25" customHeight="1" x14ac:dyDescent="0.25">
      <c r="A123" s="246"/>
      <c r="B123" s="85"/>
      <c r="C123" s="82" t="s">
        <v>160</v>
      </c>
      <c r="D123" s="81" t="s">
        <v>159</v>
      </c>
      <c r="E123" s="80">
        <v>510</v>
      </c>
      <c r="F123" s="78" t="s">
        <v>158</v>
      </c>
      <c r="G123" s="229"/>
      <c r="H123" s="79">
        <f t="shared" si="203"/>
        <v>6828964</v>
      </c>
      <c r="I123" s="79">
        <f t="shared" si="204"/>
        <v>171036</v>
      </c>
      <c r="J123" s="78"/>
      <c r="K123" s="78"/>
      <c r="L123" s="78"/>
      <c r="M123" s="75">
        <f t="shared" si="205"/>
        <v>7000000</v>
      </c>
      <c r="N123" s="75"/>
      <c r="O123" s="75"/>
      <c r="P123" s="75"/>
      <c r="Q123" s="75"/>
      <c r="R123" s="75"/>
      <c r="S123" s="75">
        <v>7000000</v>
      </c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90"/>
      <c r="AI123" s="25">
        <f t="shared" si="158"/>
        <v>0.97557142857142853</v>
      </c>
      <c r="AJ123" s="75">
        <f t="shared" si="206"/>
        <v>6829000</v>
      </c>
      <c r="AK123" s="75"/>
      <c r="AL123" s="75"/>
      <c r="AM123" s="75"/>
      <c r="AN123" s="75"/>
      <c r="AO123" s="75"/>
      <c r="AP123" s="75">
        <f>+'[4]MARZO 2015'!$N$1122</f>
        <v>6829000</v>
      </c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25">
        <f t="shared" si="160"/>
        <v>2.4428571428571466E-2</v>
      </c>
      <c r="BF123" s="75">
        <f t="shared" si="207"/>
        <v>171000</v>
      </c>
      <c r="BG123" s="75">
        <f t="shared" si="208"/>
        <v>0</v>
      </c>
      <c r="BH123" s="75">
        <f t="shared" si="209"/>
        <v>0</v>
      </c>
      <c r="BI123" s="75"/>
      <c r="BJ123" s="75">
        <f t="shared" si="210"/>
        <v>0</v>
      </c>
      <c r="BK123" s="75">
        <f t="shared" si="211"/>
        <v>0</v>
      </c>
      <c r="BL123" s="75">
        <f t="shared" si="212"/>
        <v>171000</v>
      </c>
      <c r="BM123" s="75">
        <f t="shared" si="213"/>
        <v>0</v>
      </c>
      <c r="BN123" s="75"/>
      <c r="BO123" s="75">
        <f t="shared" si="214"/>
        <v>0</v>
      </c>
      <c r="BP123" s="75">
        <f t="shared" si="215"/>
        <v>0</v>
      </c>
      <c r="BQ123" s="75">
        <f t="shared" si="216"/>
        <v>0</v>
      </c>
      <c r="BR123" s="75">
        <f t="shared" si="217"/>
        <v>0</v>
      </c>
      <c r="BS123" s="75">
        <f t="shared" si="218"/>
        <v>0</v>
      </c>
      <c r="BT123" s="75">
        <f t="shared" si="219"/>
        <v>0</v>
      </c>
      <c r="BU123" s="75">
        <f t="shared" si="220"/>
        <v>0</v>
      </c>
      <c r="BV123" s="75">
        <f t="shared" si="221"/>
        <v>0</v>
      </c>
      <c r="BW123" s="75">
        <f t="shared" si="222"/>
        <v>0</v>
      </c>
      <c r="BX123" s="75"/>
      <c r="BY123" s="75"/>
      <c r="BZ123" s="75">
        <f t="shared" si="223"/>
        <v>0</v>
      </c>
      <c r="CA123" s="25">
        <f t="shared" si="168"/>
        <v>0.97556628571428572</v>
      </c>
      <c r="CB123" s="75">
        <f t="shared" si="224"/>
        <v>6828964</v>
      </c>
      <c r="CC123" s="75"/>
      <c r="CD123" s="75"/>
      <c r="CE123" s="75"/>
      <c r="CF123" s="75"/>
      <c r="CG123" s="75"/>
      <c r="CH123" s="75">
        <f>+'[4]MARZO 2015'!$H$1120</f>
        <v>6828964</v>
      </c>
      <c r="CI123" s="75"/>
      <c r="CJ123" s="75"/>
      <c r="CK123" s="75"/>
      <c r="CL123" s="75"/>
      <c r="CM123" s="75"/>
      <c r="CN123" s="75"/>
      <c r="CO123" s="75"/>
      <c r="CP123" s="75"/>
      <c r="CQ123" s="75"/>
      <c r="CR123" s="75"/>
      <c r="CS123" s="75"/>
      <c r="CT123" s="75"/>
      <c r="CU123" s="75"/>
      <c r="CV123" s="75"/>
      <c r="CW123" s="25">
        <f t="shared" si="170"/>
        <v>2.4433714285714281E-2</v>
      </c>
      <c r="CX123" s="75">
        <f t="shared" si="225"/>
        <v>171036</v>
      </c>
      <c r="CY123" s="75"/>
      <c r="CZ123" s="75"/>
      <c r="DA123" s="75"/>
      <c r="DB123" s="75">
        <f t="shared" si="226"/>
        <v>0</v>
      </c>
      <c r="DC123" s="75">
        <f t="shared" si="227"/>
        <v>0</v>
      </c>
      <c r="DD123" s="75">
        <f t="shared" si="228"/>
        <v>171036</v>
      </c>
      <c r="DE123" s="75">
        <f t="shared" si="229"/>
        <v>0</v>
      </c>
      <c r="DF123" s="75"/>
      <c r="DG123" s="75">
        <f t="shared" si="230"/>
        <v>0</v>
      </c>
      <c r="DH123" s="75">
        <f t="shared" si="231"/>
        <v>0</v>
      </c>
      <c r="DI123" s="75"/>
      <c r="DJ123" s="75">
        <f t="shared" si="232"/>
        <v>0</v>
      </c>
      <c r="DK123" s="75">
        <f t="shared" si="233"/>
        <v>0</v>
      </c>
      <c r="DL123" s="75">
        <f t="shared" si="234"/>
        <v>0</v>
      </c>
      <c r="DM123" s="75">
        <f t="shared" si="235"/>
        <v>0</v>
      </c>
      <c r="DN123" s="75">
        <f t="shared" si="236"/>
        <v>0</v>
      </c>
      <c r="DO123" s="75">
        <f t="shared" si="237"/>
        <v>0</v>
      </c>
      <c r="DP123" s="75">
        <f t="shared" si="238"/>
        <v>0</v>
      </c>
      <c r="DQ123" s="75"/>
      <c r="DR123" s="75">
        <f t="shared" si="239"/>
        <v>0</v>
      </c>
      <c r="DT123" s="1"/>
    </row>
    <row r="124" spans="1:124" ht="66" customHeight="1" x14ac:dyDescent="0.25">
      <c r="A124" s="246"/>
      <c r="B124" s="85" t="s">
        <v>157</v>
      </c>
      <c r="C124" s="86" t="s">
        <v>156</v>
      </c>
      <c r="D124" s="81" t="s">
        <v>155</v>
      </c>
      <c r="E124" s="80">
        <v>111</v>
      </c>
      <c r="F124" s="78" t="s">
        <v>12</v>
      </c>
      <c r="G124" s="227">
        <v>20073000000</v>
      </c>
      <c r="H124" s="79">
        <f t="shared" si="203"/>
        <v>0</v>
      </c>
      <c r="I124" s="79">
        <f t="shared" si="204"/>
        <v>650000000</v>
      </c>
      <c r="J124" s="78"/>
      <c r="K124" s="78"/>
      <c r="L124" s="78"/>
      <c r="M124" s="75">
        <f t="shared" si="205"/>
        <v>650000000</v>
      </c>
      <c r="N124" s="75"/>
      <c r="O124" s="75"/>
      <c r="P124" s="75"/>
      <c r="Q124" s="75">
        <f>1590000000+400000000-850705529-550000000</f>
        <v>589294471</v>
      </c>
      <c r="R124" s="75"/>
      <c r="S124" s="75">
        <f>5000000</f>
        <v>5000000</v>
      </c>
      <c r="T124" s="75"/>
      <c r="U124" s="75"/>
      <c r="V124" s="75"/>
      <c r="W124" s="75"/>
      <c r="X124" s="75"/>
      <c r="Y124" s="75"/>
      <c r="Z124" s="75"/>
      <c r="AA124" s="75"/>
      <c r="AB124" s="75"/>
      <c r="AC124" s="75">
        <v>55705529</v>
      </c>
      <c r="AD124" s="75"/>
      <c r="AE124" s="75"/>
      <c r="AF124" s="75"/>
      <c r="AG124" s="75"/>
      <c r="AH124" s="90"/>
      <c r="AI124" s="25">
        <f t="shared" si="158"/>
        <v>0</v>
      </c>
      <c r="AJ124" s="75">
        <f t="shared" si="206"/>
        <v>0</v>
      </c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25">
        <f t="shared" si="160"/>
        <v>1</v>
      </c>
      <c r="BF124" s="75">
        <f t="shared" si="207"/>
        <v>650000000</v>
      </c>
      <c r="BG124" s="75">
        <f t="shared" si="208"/>
        <v>0</v>
      </c>
      <c r="BH124" s="75">
        <f t="shared" si="209"/>
        <v>0</v>
      </c>
      <c r="BI124" s="75"/>
      <c r="BJ124" s="75">
        <f t="shared" si="210"/>
        <v>589294471</v>
      </c>
      <c r="BK124" s="75">
        <f t="shared" si="211"/>
        <v>0</v>
      </c>
      <c r="BL124" s="75">
        <f t="shared" si="212"/>
        <v>5000000</v>
      </c>
      <c r="BM124" s="75">
        <f t="shared" si="213"/>
        <v>0</v>
      </c>
      <c r="BN124" s="75"/>
      <c r="BO124" s="75">
        <f t="shared" si="214"/>
        <v>0</v>
      </c>
      <c r="BP124" s="75">
        <f t="shared" si="215"/>
        <v>0</v>
      </c>
      <c r="BQ124" s="75">
        <f t="shared" si="216"/>
        <v>0</v>
      </c>
      <c r="BR124" s="75">
        <f t="shared" si="217"/>
        <v>0</v>
      </c>
      <c r="BS124" s="75">
        <f t="shared" si="218"/>
        <v>0</v>
      </c>
      <c r="BT124" s="75">
        <f t="shared" si="219"/>
        <v>0</v>
      </c>
      <c r="BU124" s="75">
        <f t="shared" si="220"/>
        <v>0</v>
      </c>
      <c r="BV124" s="75">
        <f t="shared" si="221"/>
        <v>55705529</v>
      </c>
      <c r="BW124" s="75">
        <f t="shared" si="222"/>
        <v>0</v>
      </c>
      <c r="BX124" s="75"/>
      <c r="BY124" s="75"/>
      <c r="BZ124" s="75">
        <f t="shared" si="223"/>
        <v>0</v>
      </c>
      <c r="CA124" s="25">
        <f t="shared" si="168"/>
        <v>0</v>
      </c>
      <c r="CB124" s="75">
        <f t="shared" si="224"/>
        <v>0</v>
      </c>
      <c r="CC124" s="75"/>
      <c r="CD124" s="75"/>
      <c r="CE124" s="75"/>
      <c r="CF124" s="75"/>
      <c r="CG124" s="75"/>
      <c r="CH124" s="75"/>
      <c r="CI124" s="75"/>
      <c r="CJ124" s="75"/>
      <c r="CK124" s="75"/>
      <c r="CL124" s="75"/>
      <c r="CM124" s="75"/>
      <c r="CN124" s="75"/>
      <c r="CO124" s="75"/>
      <c r="CP124" s="75"/>
      <c r="CQ124" s="75"/>
      <c r="CR124" s="75"/>
      <c r="CS124" s="75"/>
      <c r="CT124" s="75"/>
      <c r="CU124" s="75"/>
      <c r="CV124" s="75"/>
      <c r="CW124" s="25">
        <f t="shared" si="170"/>
        <v>1</v>
      </c>
      <c r="CX124" s="75">
        <f t="shared" si="225"/>
        <v>650000000</v>
      </c>
      <c r="CY124" s="75"/>
      <c r="CZ124" s="75"/>
      <c r="DA124" s="75"/>
      <c r="DB124" s="75">
        <f t="shared" si="226"/>
        <v>589294471</v>
      </c>
      <c r="DC124" s="75">
        <f t="shared" si="227"/>
        <v>0</v>
      </c>
      <c r="DD124" s="75">
        <f t="shared" si="228"/>
        <v>5000000</v>
      </c>
      <c r="DE124" s="75">
        <f t="shared" si="229"/>
        <v>0</v>
      </c>
      <c r="DF124" s="75"/>
      <c r="DG124" s="75">
        <f t="shared" si="230"/>
        <v>0</v>
      </c>
      <c r="DH124" s="75">
        <f t="shared" si="231"/>
        <v>0</v>
      </c>
      <c r="DI124" s="75"/>
      <c r="DJ124" s="75">
        <f t="shared" si="232"/>
        <v>0</v>
      </c>
      <c r="DK124" s="75">
        <f t="shared" si="233"/>
        <v>0</v>
      </c>
      <c r="DL124" s="75">
        <f t="shared" si="234"/>
        <v>0</v>
      </c>
      <c r="DM124" s="75">
        <f t="shared" si="235"/>
        <v>0</v>
      </c>
      <c r="DN124" s="75">
        <f t="shared" si="236"/>
        <v>55705529</v>
      </c>
      <c r="DO124" s="75">
        <f t="shared" si="237"/>
        <v>0</v>
      </c>
      <c r="DP124" s="75">
        <f t="shared" si="238"/>
        <v>0</v>
      </c>
      <c r="DQ124" s="75"/>
      <c r="DR124" s="75">
        <f t="shared" si="239"/>
        <v>0</v>
      </c>
    </row>
    <row r="125" spans="1:124" ht="36" customHeight="1" x14ac:dyDescent="0.25">
      <c r="A125" s="246"/>
      <c r="B125" s="85"/>
      <c r="C125" s="86" t="s">
        <v>154</v>
      </c>
      <c r="D125" s="81" t="s">
        <v>153</v>
      </c>
      <c r="E125" s="80">
        <v>111</v>
      </c>
      <c r="F125" s="78" t="s">
        <v>12</v>
      </c>
      <c r="G125" s="228"/>
      <c r="H125" s="79">
        <f t="shared" si="203"/>
        <v>0</v>
      </c>
      <c r="I125" s="79">
        <f t="shared" si="204"/>
        <v>830000000</v>
      </c>
      <c r="J125" s="78"/>
      <c r="K125" s="78"/>
      <c r="L125" s="78"/>
      <c r="M125" s="75">
        <f t="shared" si="205"/>
        <v>830000000</v>
      </c>
      <c r="N125" s="75"/>
      <c r="O125" s="75"/>
      <c r="P125" s="75"/>
      <c r="Q125" s="75">
        <v>830000000</v>
      </c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90"/>
      <c r="AI125" s="25">
        <f t="shared" si="158"/>
        <v>0</v>
      </c>
      <c r="AJ125" s="75">
        <f t="shared" si="206"/>
        <v>0</v>
      </c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25">
        <f t="shared" si="160"/>
        <v>1</v>
      </c>
      <c r="BF125" s="75">
        <f t="shared" si="207"/>
        <v>830000000</v>
      </c>
      <c r="BG125" s="75">
        <f t="shared" si="208"/>
        <v>0</v>
      </c>
      <c r="BH125" s="75">
        <f t="shared" si="209"/>
        <v>0</v>
      </c>
      <c r="BI125" s="75"/>
      <c r="BJ125" s="75">
        <f t="shared" si="210"/>
        <v>830000000</v>
      </c>
      <c r="BK125" s="75">
        <f t="shared" si="211"/>
        <v>0</v>
      </c>
      <c r="BL125" s="75">
        <f t="shared" si="212"/>
        <v>0</v>
      </c>
      <c r="BM125" s="75">
        <f t="shared" si="213"/>
        <v>0</v>
      </c>
      <c r="BN125" s="75"/>
      <c r="BO125" s="75">
        <f t="shared" si="214"/>
        <v>0</v>
      </c>
      <c r="BP125" s="75">
        <f t="shared" si="215"/>
        <v>0</v>
      </c>
      <c r="BQ125" s="75">
        <f t="shared" si="216"/>
        <v>0</v>
      </c>
      <c r="BR125" s="75">
        <f t="shared" si="217"/>
        <v>0</v>
      </c>
      <c r="BS125" s="75">
        <f t="shared" si="218"/>
        <v>0</v>
      </c>
      <c r="BT125" s="75">
        <f t="shared" si="219"/>
        <v>0</v>
      </c>
      <c r="BU125" s="75">
        <f t="shared" si="220"/>
        <v>0</v>
      </c>
      <c r="BV125" s="75">
        <f t="shared" si="221"/>
        <v>0</v>
      </c>
      <c r="BW125" s="75">
        <f t="shared" si="222"/>
        <v>0</v>
      </c>
      <c r="BX125" s="75"/>
      <c r="BY125" s="75"/>
      <c r="BZ125" s="75">
        <f t="shared" si="223"/>
        <v>0</v>
      </c>
      <c r="CA125" s="25">
        <f t="shared" si="168"/>
        <v>0</v>
      </c>
      <c r="CB125" s="75">
        <f t="shared" si="224"/>
        <v>0</v>
      </c>
      <c r="CC125" s="75"/>
      <c r="CD125" s="75"/>
      <c r="CE125" s="75"/>
      <c r="CF125" s="75"/>
      <c r="CG125" s="75"/>
      <c r="CH125" s="75"/>
      <c r="CI125" s="75"/>
      <c r="CJ125" s="75"/>
      <c r="CK125" s="75"/>
      <c r="CL125" s="75"/>
      <c r="CM125" s="75"/>
      <c r="CN125" s="75"/>
      <c r="CO125" s="75"/>
      <c r="CP125" s="75"/>
      <c r="CQ125" s="75"/>
      <c r="CR125" s="75"/>
      <c r="CS125" s="75"/>
      <c r="CT125" s="75"/>
      <c r="CU125" s="75"/>
      <c r="CV125" s="75"/>
      <c r="CW125" s="25">
        <f t="shared" si="170"/>
        <v>1</v>
      </c>
      <c r="CX125" s="75">
        <f t="shared" si="225"/>
        <v>830000000</v>
      </c>
      <c r="CY125" s="75"/>
      <c r="CZ125" s="75"/>
      <c r="DA125" s="75"/>
      <c r="DB125" s="75">
        <f t="shared" si="226"/>
        <v>830000000</v>
      </c>
      <c r="DC125" s="75">
        <f t="shared" si="227"/>
        <v>0</v>
      </c>
      <c r="DD125" s="75">
        <f t="shared" si="228"/>
        <v>0</v>
      </c>
      <c r="DE125" s="75">
        <f t="shared" si="229"/>
        <v>0</v>
      </c>
      <c r="DF125" s="75"/>
      <c r="DG125" s="75">
        <f t="shared" si="230"/>
        <v>0</v>
      </c>
      <c r="DH125" s="75">
        <f t="shared" si="231"/>
        <v>0</v>
      </c>
      <c r="DI125" s="75"/>
      <c r="DJ125" s="75">
        <f t="shared" si="232"/>
        <v>0</v>
      </c>
      <c r="DK125" s="75">
        <f t="shared" si="233"/>
        <v>0</v>
      </c>
      <c r="DL125" s="75">
        <f t="shared" si="234"/>
        <v>0</v>
      </c>
      <c r="DM125" s="75">
        <f t="shared" si="235"/>
        <v>0</v>
      </c>
      <c r="DN125" s="75">
        <f t="shared" si="236"/>
        <v>0</v>
      </c>
      <c r="DO125" s="75">
        <f t="shared" si="237"/>
        <v>0</v>
      </c>
      <c r="DP125" s="75">
        <f t="shared" si="238"/>
        <v>0</v>
      </c>
      <c r="DQ125" s="75"/>
      <c r="DR125" s="75">
        <f t="shared" si="239"/>
        <v>0</v>
      </c>
    </row>
    <row r="126" spans="1:124" ht="33.75" customHeight="1" x14ac:dyDescent="0.25">
      <c r="A126" s="246"/>
      <c r="B126" s="85"/>
      <c r="C126" s="86" t="s">
        <v>152</v>
      </c>
      <c r="D126" s="81" t="s">
        <v>151</v>
      </c>
      <c r="E126" s="80">
        <v>111</v>
      </c>
      <c r="F126" s="78" t="s">
        <v>12</v>
      </c>
      <c r="G126" s="228"/>
      <c r="H126" s="79">
        <f t="shared" si="203"/>
        <v>0</v>
      </c>
      <c r="I126" s="79">
        <f t="shared" si="204"/>
        <v>350000000</v>
      </c>
      <c r="J126" s="78"/>
      <c r="K126" s="78"/>
      <c r="L126" s="78"/>
      <c r="M126" s="75">
        <f t="shared" si="205"/>
        <v>350000000</v>
      </c>
      <c r="N126" s="75"/>
      <c r="O126" s="75"/>
      <c r="P126" s="75"/>
      <c r="Q126" s="75">
        <f>212000000+103000000+12000000</f>
        <v>327000000</v>
      </c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>
        <v>23000000</v>
      </c>
      <c r="AD126" s="75"/>
      <c r="AE126" s="75"/>
      <c r="AF126" s="75"/>
      <c r="AG126" s="75"/>
      <c r="AH126" s="90"/>
      <c r="AI126" s="25">
        <f t="shared" si="158"/>
        <v>0.92400446000000003</v>
      </c>
      <c r="AJ126" s="75">
        <f t="shared" si="206"/>
        <v>323401561</v>
      </c>
      <c r="AK126" s="75"/>
      <c r="AL126" s="75"/>
      <c r="AM126" s="75"/>
      <c r="AN126" s="75">
        <f>+'[2]JULIO 2015'!$M$28</f>
        <v>323401561</v>
      </c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25">
        <f t="shared" si="160"/>
        <v>7.5995539999999973E-2</v>
      </c>
      <c r="BF126" s="75">
        <f t="shared" si="207"/>
        <v>26598439</v>
      </c>
      <c r="BG126" s="75">
        <f t="shared" si="208"/>
        <v>0</v>
      </c>
      <c r="BH126" s="75">
        <f t="shared" si="209"/>
        <v>0</v>
      </c>
      <c r="BI126" s="75"/>
      <c r="BJ126" s="75">
        <f t="shared" si="210"/>
        <v>3598439</v>
      </c>
      <c r="BK126" s="75">
        <f t="shared" si="211"/>
        <v>0</v>
      </c>
      <c r="BL126" s="75">
        <f t="shared" si="212"/>
        <v>0</v>
      </c>
      <c r="BM126" s="75">
        <f t="shared" si="213"/>
        <v>0</v>
      </c>
      <c r="BN126" s="75"/>
      <c r="BO126" s="75">
        <f t="shared" si="214"/>
        <v>0</v>
      </c>
      <c r="BP126" s="75">
        <f t="shared" si="215"/>
        <v>0</v>
      </c>
      <c r="BQ126" s="75">
        <f t="shared" si="216"/>
        <v>0</v>
      </c>
      <c r="BR126" s="75">
        <f t="shared" si="217"/>
        <v>0</v>
      </c>
      <c r="BS126" s="75">
        <f t="shared" si="218"/>
        <v>0</v>
      </c>
      <c r="BT126" s="75">
        <f t="shared" si="219"/>
        <v>0</v>
      </c>
      <c r="BU126" s="75">
        <f t="shared" si="220"/>
        <v>0</v>
      </c>
      <c r="BV126" s="75">
        <f t="shared" si="221"/>
        <v>23000000</v>
      </c>
      <c r="BW126" s="75">
        <f t="shared" si="222"/>
        <v>0</v>
      </c>
      <c r="BX126" s="75"/>
      <c r="BY126" s="75"/>
      <c r="BZ126" s="75">
        <f t="shared" si="223"/>
        <v>0</v>
      </c>
      <c r="CA126" s="25">
        <f t="shared" si="168"/>
        <v>0</v>
      </c>
      <c r="CB126" s="75">
        <f t="shared" si="224"/>
        <v>0</v>
      </c>
      <c r="CC126" s="75"/>
      <c r="CD126" s="75"/>
      <c r="CE126" s="75"/>
      <c r="CF126" s="75"/>
      <c r="CG126" s="75"/>
      <c r="CH126" s="75"/>
      <c r="CI126" s="75"/>
      <c r="CJ126" s="75"/>
      <c r="CK126" s="75"/>
      <c r="CL126" s="75"/>
      <c r="CM126" s="75"/>
      <c r="CN126" s="75"/>
      <c r="CO126" s="75"/>
      <c r="CP126" s="75"/>
      <c r="CQ126" s="75"/>
      <c r="CR126" s="75"/>
      <c r="CS126" s="75"/>
      <c r="CT126" s="75"/>
      <c r="CU126" s="75"/>
      <c r="CV126" s="75"/>
      <c r="CW126" s="25">
        <f t="shared" si="170"/>
        <v>1</v>
      </c>
      <c r="CX126" s="75">
        <f t="shared" si="225"/>
        <v>350000000</v>
      </c>
      <c r="CY126" s="75"/>
      <c r="CZ126" s="75"/>
      <c r="DA126" s="75"/>
      <c r="DB126" s="75">
        <f t="shared" si="226"/>
        <v>327000000</v>
      </c>
      <c r="DC126" s="75">
        <f t="shared" si="227"/>
        <v>0</v>
      </c>
      <c r="DD126" s="75">
        <f t="shared" si="228"/>
        <v>0</v>
      </c>
      <c r="DE126" s="75">
        <f t="shared" si="229"/>
        <v>0</v>
      </c>
      <c r="DF126" s="75"/>
      <c r="DG126" s="75">
        <f t="shared" si="230"/>
        <v>0</v>
      </c>
      <c r="DH126" s="75">
        <f t="shared" si="231"/>
        <v>0</v>
      </c>
      <c r="DI126" s="75"/>
      <c r="DJ126" s="75">
        <f t="shared" si="232"/>
        <v>0</v>
      </c>
      <c r="DK126" s="75">
        <f t="shared" si="233"/>
        <v>0</v>
      </c>
      <c r="DL126" s="75">
        <f t="shared" si="234"/>
        <v>0</v>
      </c>
      <c r="DM126" s="75">
        <f t="shared" si="235"/>
        <v>0</v>
      </c>
      <c r="DN126" s="75">
        <f t="shared" si="236"/>
        <v>23000000</v>
      </c>
      <c r="DO126" s="75">
        <f t="shared" si="237"/>
        <v>0</v>
      </c>
      <c r="DP126" s="75">
        <f t="shared" si="238"/>
        <v>0</v>
      </c>
      <c r="DQ126" s="75"/>
      <c r="DR126" s="75">
        <f t="shared" si="239"/>
        <v>0</v>
      </c>
      <c r="DS126" s="91"/>
    </row>
    <row r="127" spans="1:124" ht="33" customHeight="1" x14ac:dyDescent="0.25">
      <c r="A127" s="246"/>
      <c r="B127" s="85"/>
      <c r="C127" s="86" t="s">
        <v>150</v>
      </c>
      <c r="D127" s="81" t="s">
        <v>149</v>
      </c>
      <c r="E127" s="80">
        <v>111</v>
      </c>
      <c r="F127" s="78" t="s">
        <v>12</v>
      </c>
      <c r="G127" s="228"/>
      <c r="H127" s="79">
        <f t="shared" si="203"/>
        <v>598906128</v>
      </c>
      <c r="I127" s="79">
        <f t="shared" si="204"/>
        <v>7460796</v>
      </c>
      <c r="J127" s="78"/>
      <c r="K127" s="78"/>
      <c r="L127" s="78"/>
      <c r="M127" s="75">
        <f t="shared" si="205"/>
        <v>606366924</v>
      </c>
      <c r="N127" s="75"/>
      <c r="O127" s="75"/>
      <c r="P127" s="75"/>
      <c r="Q127" s="75">
        <f>636000000+213203847-262848257</f>
        <v>586355590</v>
      </c>
      <c r="R127" s="75">
        <f>20011334</f>
        <v>20011334</v>
      </c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90"/>
      <c r="AI127" s="25">
        <f t="shared" si="158"/>
        <v>0.99586381792816914</v>
      </c>
      <c r="AJ127" s="75">
        <f t="shared" si="206"/>
        <v>603858880</v>
      </c>
      <c r="AK127" s="75"/>
      <c r="AL127" s="75"/>
      <c r="AM127" s="75"/>
      <c r="AN127" s="75">
        <f>+'[6]JUNIO 2015'!$M$33</f>
        <v>586355590</v>
      </c>
      <c r="AO127" s="75">
        <f>+'[1]AGOSTO 2015'!$N$33</f>
        <v>17503290</v>
      </c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25">
        <f t="shared" si="160"/>
        <v>4.1361820718308628E-3</v>
      </c>
      <c r="BF127" s="75">
        <f t="shared" si="207"/>
        <v>2508044</v>
      </c>
      <c r="BG127" s="75">
        <f t="shared" si="208"/>
        <v>0</v>
      </c>
      <c r="BH127" s="75">
        <f t="shared" si="209"/>
        <v>0</v>
      </c>
      <c r="BI127" s="75"/>
      <c r="BJ127" s="75">
        <f t="shared" si="210"/>
        <v>0</v>
      </c>
      <c r="BK127" s="75">
        <f t="shared" si="211"/>
        <v>2508044</v>
      </c>
      <c r="BL127" s="75">
        <f t="shared" si="212"/>
        <v>0</v>
      </c>
      <c r="BM127" s="75">
        <f t="shared" si="213"/>
        <v>0</v>
      </c>
      <c r="BN127" s="75"/>
      <c r="BO127" s="75">
        <f t="shared" si="214"/>
        <v>0</v>
      </c>
      <c r="BP127" s="75">
        <f t="shared" si="215"/>
        <v>0</v>
      </c>
      <c r="BQ127" s="75">
        <f t="shared" si="216"/>
        <v>0</v>
      </c>
      <c r="BR127" s="75">
        <f t="shared" si="217"/>
        <v>0</v>
      </c>
      <c r="BS127" s="75">
        <f t="shared" si="218"/>
        <v>0</v>
      </c>
      <c r="BT127" s="75">
        <f t="shared" si="219"/>
        <v>0</v>
      </c>
      <c r="BU127" s="75">
        <f t="shared" si="220"/>
        <v>0</v>
      </c>
      <c r="BV127" s="75">
        <f t="shared" si="221"/>
        <v>0</v>
      </c>
      <c r="BW127" s="75">
        <f t="shared" si="222"/>
        <v>0</v>
      </c>
      <c r="BX127" s="75"/>
      <c r="BY127" s="75"/>
      <c r="BZ127" s="75">
        <f t="shared" si="223"/>
        <v>0</v>
      </c>
      <c r="CA127" s="25">
        <f t="shared" si="168"/>
        <v>0.98769590539209551</v>
      </c>
      <c r="CB127" s="75">
        <f t="shared" si="224"/>
        <v>598906128</v>
      </c>
      <c r="CC127" s="75"/>
      <c r="CD127" s="75"/>
      <c r="CE127" s="75"/>
      <c r="CF127" s="75">
        <f>+'[1]AGOSTO 2015'!$H$34+'[1]AGOSTO 2015'!$G$43</f>
        <v>586355588</v>
      </c>
      <c r="CG127" s="75">
        <f>+'[1]AGOSTO 2015'!$H$45+'[1]AGOSTO 2015'!$H$47+'[1]AGOSTO 2015'!$H$50</f>
        <v>12550540</v>
      </c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/>
      <c r="CV127" s="75"/>
      <c r="CW127" s="25">
        <f t="shared" si="170"/>
        <v>1.2304094607904492E-2</v>
      </c>
      <c r="CX127" s="75">
        <f t="shared" si="225"/>
        <v>7460796</v>
      </c>
      <c r="CY127" s="75"/>
      <c r="CZ127" s="75"/>
      <c r="DA127" s="75"/>
      <c r="DB127" s="75">
        <f t="shared" si="226"/>
        <v>2</v>
      </c>
      <c r="DC127" s="75">
        <f t="shared" si="227"/>
        <v>7460794</v>
      </c>
      <c r="DD127" s="75">
        <f t="shared" si="228"/>
        <v>0</v>
      </c>
      <c r="DE127" s="75">
        <f t="shared" si="229"/>
        <v>0</v>
      </c>
      <c r="DF127" s="75"/>
      <c r="DG127" s="75">
        <f t="shared" si="230"/>
        <v>0</v>
      </c>
      <c r="DH127" s="75">
        <f t="shared" si="231"/>
        <v>0</v>
      </c>
      <c r="DI127" s="75"/>
      <c r="DJ127" s="75">
        <f t="shared" si="232"/>
        <v>0</v>
      </c>
      <c r="DK127" s="75">
        <f t="shared" si="233"/>
        <v>0</v>
      </c>
      <c r="DL127" s="75">
        <f t="shared" si="234"/>
        <v>0</v>
      </c>
      <c r="DM127" s="75">
        <f t="shared" si="235"/>
        <v>0</v>
      </c>
      <c r="DN127" s="75">
        <f t="shared" si="236"/>
        <v>0</v>
      </c>
      <c r="DO127" s="75">
        <f t="shared" si="237"/>
        <v>0</v>
      </c>
      <c r="DP127" s="75">
        <f t="shared" si="238"/>
        <v>0</v>
      </c>
      <c r="DQ127" s="75"/>
      <c r="DR127" s="75">
        <f t="shared" si="239"/>
        <v>0</v>
      </c>
    </row>
    <row r="128" spans="1:124" ht="34.5" customHeight="1" x14ac:dyDescent="0.25">
      <c r="A128" s="246"/>
      <c r="B128" s="85"/>
      <c r="C128" s="86" t="s">
        <v>148</v>
      </c>
      <c r="D128" s="81" t="s">
        <v>147</v>
      </c>
      <c r="E128" s="80">
        <v>111</v>
      </c>
      <c r="F128" s="78" t="s">
        <v>12</v>
      </c>
      <c r="G128" s="228"/>
      <c r="H128" s="79">
        <f t="shared" si="203"/>
        <v>0</v>
      </c>
      <c r="I128" s="79">
        <f t="shared" si="204"/>
        <v>360000000</v>
      </c>
      <c r="J128" s="78"/>
      <c r="K128" s="78"/>
      <c r="L128" s="78"/>
      <c r="M128" s="75">
        <f t="shared" si="205"/>
        <v>360000000</v>
      </c>
      <c r="N128" s="75"/>
      <c r="O128" s="75"/>
      <c r="P128" s="75"/>
      <c r="Q128" s="75">
        <f>290000000+70000000</f>
        <v>360000000</v>
      </c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90"/>
      <c r="AI128" s="25">
        <f t="shared" si="158"/>
        <v>0</v>
      </c>
      <c r="AJ128" s="75">
        <f t="shared" si="206"/>
        <v>0</v>
      </c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25">
        <f t="shared" si="160"/>
        <v>1</v>
      </c>
      <c r="BF128" s="75">
        <f t="shared" si="207"/>
        <v>360000000</v>
      </c>
      <c r="BG128" s="75">
        <f t="shared" si="208"/>
        <v>0</v>
      </c>
      <c r="BH128" s="75">
        <f t="shared" si="209"/>
        <v>0</v>
      </c>
      <c r="BI128" s="75"/>
      <c r="BJ128" s="75">
        <f t="shared" si="210"/>
        <v>360000000</v>
      </c>
      <c r="BK128" s="75">
        <f t="shared" si="211"/>
        <v>0</v>
      </c>
      <c r="BL128" s="75">
        <f t="shared" si="212"/>
        <v>0</v>
      </c>
      <c r="BM128" s="75">
        <f t="shared" si="213"/>
        <v>0</v>
      </c>
      <c r="BN128" s="75"/>
      <c r="BO128" s="75">
        <f t="shared" si="214"/>
        <v>0</v>
      </c>
      <c r="BP128" s="75">
        <f t="shared" si="215"/>
        <v>0</v>
      </c>
      <c r="BQ128" s="75">
        <f t="shared" si="216"/>
        <v>0</v>
      </c>
      <c r="BR128" s="75">
        <f t="shared" si="217"/>
        <v>0</v>
      </c>
      <c r="BS128" s="75">
        <f t="shared" si="218"/>
        <v>0</v>
      </c>
      <c r="BT128" s="75">
        <f t="shared" si="219"/>
        <v>0</v>
      </c>
      <c r="BU128" s="75">
        <f t="shared" si="220"/>
        <v>0</v>
      </c>
      <c r="BV128" s="75">
        <f t="shared" si="221"/>
        <v>0</v>
      </c>
      <c r="BW128" s="75">
        <f t="shared" si="222"/>
        <v>0</v>
      </c>
      <c r="BX128" s="75"/>
      <c r="BY128" s="75"/>
      <c r="BZ128" s="75">
        <f t="shared" si="223"/>
        <v>0</v>
      </c>
      <c r="CA128" s="25">
        <f t="shared" si="168"/>
        <v>0</v>
      </c>
      <c r="CB128" s="75">
        <f t="shared" si="224"/>
        <v>0</v>
      </c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25">
        <f t="shared" si="170"/>
        <v>1</v>
      </c>
      <c r="CX128" s="75">
        <f t="shared" si="225"/>
        <v>360000000</v>
      </c>
      <c r="CY128" s="75"/>
      <c r="CZ128" s="75"/>
      <c r="DA128" s="75"/>
      <c r="DB128" s="75">
        <f t="shared" si="226"/>
        <v>360000000</v>
      </c>
      <c r="DC128" s="75">
        <f t="shared" si="227"/>
        <v>0</v>
      </c>
      <c r="DD128" s="75">
        <f t="shared" si="228"/>
        <v>0</v>
      </c>
      <c r="DE128" s="75">
        <f t="shared" si="229"/>
        <v>0</v>
      </c>
      <c r="DF128" s="75"/>
      <c r="DG128" s="75">
        <f t="shared" si="230"/>
        <v>0</v>
      </c>
      <c r="DH128" s="75">
        <f t="shared" si="231"/>
        <v>0</v>
      </c>
      <c r="DI128" s="75"/>
      <c r="DJ128" s="75">
        <f t="shared" si="232"/>
        <v>0</v>
      </c>
      <c r="DK128" s="75">
        <f t="shared" si="233"/>
        <v>0</v>
      </c>
      <c r="DL128" s="75">
        <f t="shared" si="234"/>
        <v>0</v>
      </c>
      <c r="DM128" s="75">
        <f t="shared" si="235"/>
        <v>0</v>
      </c>
      <c r="DN128" s="75">
        <f t="shared" si="236"/>
        <v>0</v>
      </c>
      <c r="DO128" s="75">
        <f t="shared" si="237"/>
        <v>0</v>
      </c>
      <c r="DP128" s="75">
        <f t="shared" si="238"/>
        <v>0</v>
      </c>
      <c r="DQ128" s="75"/>
      <c r="DR128" s="75">
        <f t="shared" si="239"/>
        <v>0</v>
      </c>
    </row>
    <row r="129" spans="1:123" ht="36" customHeight="1" x14ac:dyDescent="0.25">
      <c r="A129" s="246"/>
      <c r="B129" s="85"/>
      <c r="C129" s="86" t="s">
        <v>146</v>
      </c>
      <c r="D129" s="81" t="s">
        <v>145</v>
      </c>
      <c r="E129" s="80">
        <v>111</v>
      </c>
      <c r="F129" s="78" t="s">
        <v>12</v>
      </c>
      <c r="G129" s="228"/>
      <c r="H129" s="79">
        <f t="shared" si="203"/>
        <v>0</v>
      </c>
      <c r="I129" s="79">
        <f t="shared" si="204"/>
        <v>938075763</v>
      </c>
      <c r="J129" s="78"/>
      <c r="K129" s="78"/>
      <c r="L129" s="78"/>
      <c r="M129" s="75">
        <f t="shared" si="205"/>
        <v>938075763</v>
      </c>
      <c r="N129" s="75"/>
      <c r="O129" s="75"/>
      <c r="P129" s="75"/>
      <c r="Q129" s="75">
        <f>699600000+99000000+80000000</f>
        <v>878600000</v>
      </c>
      <c r="R129" s="75"/>
      <c r="S129" s="75"/>
      <c r="T129" s="75"/>
      <c r="U129" s="75"/>
      <c r="V129" s="75"/>
      <c r="W129" s="75">
        <v>1940856</v>
      </c>
      <c r="X129" s="75">
        <v>3438802</v>
      </c>
      <c r="Y129" s="75">
        <v>54096105</v>
      </c>
      <c r="Z129" s="75"/>
      <c r="AA129" s="75"/>
      <c r="AB129" s="75"/>
      <c r="AC129" s="75"/>
      <c r="AD129" s="75"/>
      <c r="AE129" s="75"/>
      <c r="AF129" s="75"/>
      <c r="AG129" s="75"/>
      <c r="AH129" s="90"/>
      <c r="AI129" s="25">
        <f t="shared" si="158"/>
        <v>0</v>
      </c>
      <c r="AJ129" s="75">
        <f t="shared" si="206"/>
        <v>0</v>
      </c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25">
        <f t="shared" si="160"/>
        <v>1</v>
      </c>
      <c r="BF129" s="75">
        <f t="shared" si="207"/>
        <v>938075763</v>
      </c>
      <c r="BG129" s="75">
        <f t="shared" si="208"/>
        <v>0</v>
      </c>
      <c r="BH129" s="75">
        <f t="shared" si="209"/>
        <v>0</v>
      </c>
      <c r="BI129" s="75"/>
      <c r="BJ129" s="75">
        <f t="shared" si="210"/>
        <v>878600000</v>
      </c>
      <c r="BK129" s="75">
        <f t="shared" si="211"/>
        <v>0</v>
      </c>
      <c r="BL129" s="75">
        <f t="shared" si="212"/>
        <v>0</v>
      </c>
      <c r="BM129" s="75">
        <f t="shared" si="213"/>
        <v>0</v>
      </c>
      <c r="BN129" s="75"/>
      <c r="BO129" s="75">
        <f t="shared" si="214"/>
        <v>0</v>
      </c>
      <c r="BP129" s="75">
        <f t="shared" si="215"/>
        <v>1940856</v>
      </c>
      <c r="BQ129" s="75">
        <f t="shared" si="216"/>
        <v>3438802</v>
      </c>
      <c r="BR129" s="75">
        <f t="shared" si="217"/>
        <v>54096105</v>
      </c>
      <c r="BS129" s="75">
        <f t="shared" si="218"/>
        <v>0</v>
      </c>
      <c r="BT129" s="75">
        <f t="shared" si="219"/>
        <v>0</v>
      </c>
      <c r="BU129" s="75">
        <f t="shared" si="220"/>
        <v>0</v>
      </c>
      <c r="BV129" s="75">
        <f t="shared" si="221"/>
        <v>0</v>
      </c>
      <c r="BW129" s="75">
        <f t="shared" si="222"/>
        <v>0</v>
      </c>
      <c r="BX129" s="75">
        <f>+AE129-BB129</f>
        <v>0</v>
      </c>
      <c r="BY129" s="75">
        <f>+AF129-BC129</f>
        <v>0</v>
      </c>
      <c r="BZ129" s="75">
        <f t="shared" si="223"/>
        <v>0</v>
      </c>
      <c r="CA129" s="25">
        <f t="shared" si="168"/>
        <v>0</v>
      </c>
      <c r="CB129" s="75">
        <f t="shared" si="224"/>
        <v>0</v>
      </c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25">
        <f t="shared" si="170"/>
        <v>1</v>
      </c>
      <c r="CX129" s="75">
        <f t="shared" si="225"/>
        <v>938075763</v>
      </c>
      <c r="CY129" s="75"/>
      <c r="CZ129" s="75"/>
      <c r="DA129" s="75"/>
      <c r="DB129" s="75">
        <f t="shared" si="226"/>
        <v>878600000</v>
      </c>
      <c r="DC129" s="75">
        <f t="shared" si="227"/>
        <v>0</v>
      </c>
      <c r="DD129" s="75">
        <f t="shared" si="228"/>
        <v>0</v>
      </c>
      <c r="DE129" s="75">
        <f t="shared" si="229"/>
        <v>0</v>
      </c>
      <c r="DF129" s="75"/>
      <c r="DG129" s="75">
        <f t="shared" si="230"/>
        <v>0</v>
      </c>
      <c r="DH129" s="75">
        <f t="shared" si="231"/>
        <v>1940856</v>
      </c>
      <c r="DI129" s="75">
        <f>+X129-CM129</f>
        <v>3438802</v>
      </c>
      <c r="DJ129" s="75">
        <f t="shared" si="232"/>
        <v>54096105</v>
      </c>
      <c r="DK129" s="75">
        <f t="shared" si="233"/>
        <v>0</v>
      </c>
      <c r="DL129" s="75">
        <f t="shared" si="234"/>
        <v>0</v>
      </c>
      <c r="DM129" s="75">
        <f t="shared" si="235"/>
        <v>0</v>
      </c>
      <c r="DN129" s="75">
        <f t="shared" si="236"/>
        <v>0</v>
      </c>
      <c r="DO129" s="75">
        <f t="shared" si="237"/>
        <v>0</v>
      </c>
      <c r="DP129" s="75">
        <f t="shared" si="238"/>
        <v>0</v>
      </c>
      <c r="DQ129" s="75"/>
      <c r="DR129" s="75">
        <f t="shared" si="239"/>
        <v>0</v>
      </c>
    </row>
    <row r="130" spans="1:123" ht="33.75" customHeight="1" x14ac:dyDescent="0.25">
      <c r="A130" s="246"/>
      <c r="B130" s="85"/>
      <c r="C130" s="86" t="s">
        <v>144</v>
      </c>
      <c r="D130" s="81" t="s">
        <v>143</v>
      </c>
      <c r="E130" s="80">
        <v>111</v>
      </c>
      <c r="F130" s="78" t="s">
        <v>12</v>
      </c>
      <c r="G130" s="228"/>
      <c r="H130" s="79">
        <f t="shared" si="203"/>
        <v>0</v>
      </c>
      <c r="I130" s="79">
        <f t="shared" si="204"/>
        <v>233200000</v>
      </c>
      <c r="J130" s="78"/>
      <c r="K130" s="78"/>
      <c r="L130" s="78"/>
      <c r="M130" s="75">
        <f t="shared" si="205"/>
        <v>233200000</v>
      </c>
      <c r="N130" s="75"/>
      <c r="O130" s="75"/>
      <c r="P130" s="75"/>
      <c r="Q130" s="75">
        <v>233200000</v>
      </c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90"/>
      <c r="AI130" s="25">
        <f t="shared" si="158"/>
        <v>0</v>
      </c>
      <c r="AJ130" s="75">
        <f t="shared" si="206"/>
        <v>0</v>
      </c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25">
        <f t="shared" si="160"/>
        <v>1</v>
      </c>
      <c r="BF130" s="75">
        <f t="shared" si="207"/>
        <v>233200000</v>
      </c>
      <c r="BG130" s="75">
        <f t="shared" si="208"/>
        <v>0</v>
      </c>
      <c r="BH130" s="75">
        <f t="shared" si="209"/>
        <v>0</v>
      </c>
      <c r="BI130" s="75"/>
      <c r="BJ130" s="75">
        <f t="shared" si="210"/>
        <v>233200000</v>
      </c>
      <c r="BK130" s="75">
        <f t="shared" si="211"/>
        <v>0</v>
      </c>
      <c r="BL130" s="75">
        <f t="shared" si="212"/>
        <v>0</v>
      </c>
      <c r="BM130" s="75">
        <f t="shared" si="213"/>
        <v>0</v>
      </c>
      <c r="BN130" s="75"/>
      <c r="BO130" s="75">
        <f t="shared" si="214"/>
        <v>0</v>
      </c>
      <c r="BP130" s="75">
        <f t="shared" si="215"/>
        <v>0</v>
      </c>
      <c r="BQ130" s="75">
        <f t="shared" si="216"/>
        <v>0</v>
      </c>
      <c r="BR130" s="75">
        <f t="shared" si="217"/>
        <v>0</v>
      </c>
      <c r="BS130" s="75">
        <f t="shared" si="218"/>
        <v>0</v>
      </c>
      <c r="BT130" s="75">
        <f t="shared" si="219"/>
        <v>0</v>
      </c>
      <c r="BU130" s="75">
        <f t="shared" si="220"/>
        <v>0</v>
      </c>
      <c r="BV130" s="75">
        <f t="shared" si="221"/>
        <v>0</v>
      </c>
      <c r="BW130" s="75">
        <f t="shared" si="222"/>
        <v>0</v>
      </c>
      <c r="BX130" s="75"/>
      <c r="BY130" s="75">
        <f t="shared" ref="BY130:BY142" si="240">+AF130-BC130</f>
        <v>0</v>
      </c>
      <c r="BZ130" s="75">
        <f t="shared" si="223"/>
        <v>0</v>
      </c>
      <c r="CA130" s="25">
        <f t="shared" si="168"/>
        <v>0</v>
      </c>
      <c r="CB130" s="75">
        <f t="shared" si="224"/>
        <v>0</v>
      </c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25">
        <f t="shared" si="170"/>
        <v>1</v>
      </c>
      <c r="CX130" s="75">
        <f t="shared" si="225"/>
        <v>233200000</v>
      </c>
      <c r="CY130" s="75"/>
      <c r="CZ130" s="75"/>
      <c r="DA130" s="75"/>
      <c r="DB130" s="75">
        <f t="shared" si="226"/>
        <v>233200000</v>
      </c>
      <c r="DC130" s="75">
        <f t="shared" si="227"/>
        <v>0</v>
      </c>
      <c r="DD130" s="75">
        <f t="shared" si="228"/>
        <v>0</v>
      </c>
      <c r="DE130" s="75">
        <f t="shared" si="229"/>
        <v>0</v>
      </c>
      <c r="DF130" s="75"/>
      <c r="DG130" s="75">
        <f t="shared" si="230"/>
        <v>0</v>
      </c>
      <c r="DH130" s="75">
        <f t="shared" si="231"/>
        <v>0</v>
      </c>
      <c r="DI130" s="75">
        <f>+X130-CM130</f>
        <v>0</v>
      </c>
      <c r="DJ130" s="75">
        <f t="shared" si="232"/>
        <v>0</v>
      </c>
      <c r="DK130" s="75">
        <f t="shared" si="233"/>
        <v>0</v>
      </c>
      <c r="DL130" s="75">
        <f t="shared" si="234"/>
        <v>0</v>
      </c>
      <c r="DM130" s="75">
        <f t="shared" si="235"/>
        <v>0</v>
      </c>
      <c r="DN130" s="75">
        <f t="shared" si="236"/>
        <v>0</v>
      </c>
      <c r="DO130" s="75">
        <f t="shared" si="237"/>
        <v>0</v>
      </c>
      <c r="DP130" s="75">
        <f t="shared" si="238"/>
        <v>0</v>
      </c>
      <c r="DQ130" s="75"/>
      <c r="DR130" s="75">
        <f t="shared" si="239"/>
        <v>0</v>
      </c>
    </row>
    <row r="131" spans="1:123" ht="32.25" customHeight="1" x14ac:dyDescent="0.25">
      <c r="A131" s="246"/>
      <c r="B131" s="85"/>
      <c r="C131" s="86" t="s">
        <v>142</v>
      </c>
      <c r="D131" s="81" t="s">
        <v>141</v>
      </c>
      <c r="E131" s="80">
        <v>111</v>
      </c>
      <c r="F131" s="78" t="s">
        <v>12</v>
      </c>
      <c r="G131" s="228"/>
      <c r="H131" s="79">
        <f t="shared" si="203"/>
        <v>0</v>
      </c>
      <c r="I131" s="79">
        <f t="shared" si="204"/>
        <v>300000000</v>
      </c>
      <c r="J131" s="78"/>
      <c r="K131" s="78"/>
      <c r="L131" s="78"/>
      <c r="M131" s="75">
        <f t="shared" si="205"/>
        <v>300000000</v>
      </c>
      <c r="N131" s="75"/>
      <c r="O131" s="75"/>
      <c r="P131" s="75"/>
      <c r="Q131" s="75">
        <f>114715796+100000000-12000000</f>
        <v>202715796</v>
      </c>
      <c r="R131" s="75"/>
      <c r="S131" s="75"/>
      <c r="T131" s="75"/>
      <c r="U131" s="75"/>
      <c r="V131" s="75"/>
      <c r="W131" s="75"/>
      <c r="X131" s="75"/>
      <c r="Y131" s="75">
        <v>97284204</v>
      </c>
      <c r="Z131" s="75"/>
      <c r="AA131" s="75"/>
      <c r="AB131" s="75"/>
      <c r="AC131" s="75"/>
      <c r="AD131" s="75"/>
      <c r="AE131" s="75"/>
      <c r="AF131" s="75"/>
      <c r="AG131" s="75"/>
      <c r="AH131" s="90"/>
      <c r="AI131" s="25">
        <f t="shared" si="158"/>
        <v>0</v>
      </c>
      <c r="AJ131" s="75">
        <f t="shared" si="206"/>
        <v>0</v>
      </c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25">
        <f t="shared" si="160"/>
        <v>1</v>
      </c>
      <c r="BF131" s="75">
        <f t="shared" si="207"/>
        <v>300000000</v>
      </c>
      <c r="BG131" s="75">
        <f t="shared" si="208"/>
        <v>0</v>
      </c>
      <c r="BH131" s="75">
        <f t="shared" si="209"/>
        <v>0</v>
      </c>
      <c r="BI131" s="75"/>
      <c r="BJ131" s="75">
        <f t="shared" si="210"/>
        <v>202715796</v>
      </c>
      <c r="BK131" s="75">
        <f t="shared" si="211"/>
        <v>0</v>
      </c>
      <c r="BL131" s="75">
        <f t="shared" si="212"/>
        <v>0</v>
      </c>
      <c r="BM131" s="75">
        <f t="shared" si="213"/>
        <v>0</v>
      </c>
      <c r="BN131" s="75"/>
      <c r="BO131" s="75">
        <f t="shared" si="214"/>
        <v>0</v>
      </c>
      <c r="BP131" s="75">
        <f t="shared" si="215"/>
        <v>0</v>
      </c>
      <c r="BQ131" s="75">
        <f t="shared" si="216"/>
        <v>0</v>
      </c>
      <c r="BR131" s="75">
        <f t="shared" si="217"/>
        <v>97284204</v>
      </c>
      <c r="BS131" s="75">
        <f t="shared" si="218"/>
        <v>0</v>
      </c>
      <c r="BT131" s="75">
        <f t="shared" si="219"/>
        <v>0</v>
      </c>
      <c r="BU131" s="75">
        <f t="shared" si="220"/>
        <v>0</v>
      </c>
      <c r="BV131" s="75">
        <f t="shared" si="221"/>
        <v>0</v>
      </c>
      <c r="BW131" s="75">
        <f t="shared" si="222"/>
        <v>0</v>
      </c>
      <c r="BX131" s="75"/>
      <c r="BY131" s="75">
        <f t="shared" si="240"/>
        <v>0</v>
      </c>
      <c r="BZ131" s="75">
        <f t="shared" si="223"/>
        <v>0</v>
      </c>
      <c r="CA131" s="25">
        <f t="shared" si="168"/>
        <v>0</v>
      </c>
      <c r="CB131" s="75">
        <f t="shared" si="224"/>
        <v>0</v>
      </c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25">
        <f t="shared" si="170"/>
        <v>1</v>
      </c>
      <c r="CX131" s="75">
        <f t="shared" si="225"/>
        <v>300000000</v>
      </c>
      <c r="CY131" s="75"/>
      <c r="CZ131" s="75"/>
      <c r="DA131" s="75"/>
      <c r="DB131" s="75">
        <f t="shared" si="226"/>
        <v>202715796</v>
      </c>
      <c r="DC131" s="75">
        <f t="shared" si="227"/>
        <v>0</v>
      </c>
      <c r="DD131" s="75">
        <f t="shared" si="228"/>
        <v>0</v>
      </c>
      <c r="DE131" s="75">
        <f t="shared" si="229"/>
        <v>0</v>
      </c>
      <c r="DF131" s="75"/>
      <c r="DG131" s="75">
        <f t="shared" si="230"/>
        <v>0</v>
      </c>
      <c r="DH131" s="75">
        <f t="shared" si="231"/>
        <v>0</v>
      </c>
      <c r="DI131" s="75"/>
      <c r="DJ131" s="75">
        <f t="shared" si="232"/>
        <v>97284204</v>
      </c>
      <c r="DK131" s="75">
        <f t="shared" si="233"/>
        <v>0</v>
      </c>
      <c r="DL131" s="75">
        <f t="shared" si="234"/>
        <v>0</v>
      </c>
      <c r="DM131" s="75">
        <f t="shared" si="235"/>
        <v>0</v>
      </c>
      <c r="DN131" s="75">
        <f t="shared" si="236"/>
        <v>0</v>
      </c>
      <c r="DO131" s="75">
        <f t="shared" si="237"/>
        <v>0</v>
      </c>
      <c r="DP131" s="75">
        <f t="shared" si="238"/>
        <v>0</v>
      </c>
      <c r="DQ131" s="75"/>
      <c r="DR131" s="75">
        <f t="shared" si="239"/>
        <v>0</v>
      </c>
      <c r="DS131" s="91"/>
    </row>
    <row r="132" spans="1:123" ht="32.25" customHeight="1" x14ac:dyDescent="0.25">
      <c r="A132" s="246"/>
      <c r="B132" s="85"/>
      <c r="C132" s="86" t="s">
        <v>140</v>
      </c>
      <c r="D132" s="81" t="s">
        <v>139</v>
      </c>
      <c r="E132" s="80">
        <v>111</v>
      </c>
      <c r="F132" s="78" t="s">
        <v>12</v>
      </c>
      <c r="G132" s="228"/>
      <c r="H132" s="79">
        <f t="shared" si="203"/>
        <v>0</v>
      </c>
      <c r="I132" s="79">
        <f t="shared" si="204"/>
        <v>35000000</v>
      </c>
      <c r="J132" s="78"/>
      <c r="K132" s="78"/>
      <c r="L132" s="78"/>
      <c r="M132" s="75">
        <f t="shared" si="205"/>
        <v>35000000</v>
      </c>
      <c r="N132" s="75"/>
      <c r="O132" s="75"/>
      <c r="P132" s="75"/>
      <c r="Q132" s="75">
        <f>71000000-71000000</f>
        <v>0</v>
      </c>
      <c r="R132" s="75"/>
      <c r="S132" s="75"/>
      <c r="T132" s="75"/>
      <c r="U132" s="75"/>
      <c r="V132" s="75"/>
      <c r="W132" s="75"/>
      <c r="X132" s="75"/>
      <c r="Y132" s="75">
        <v>35000000</v>
      </c>
      <c r="Z132" s="75"/>
      <c r="AA132" s="75"/>
      <c r="AB132" s="75"/>
      <c r="AC132" s="75"/>
      <c r="AD132" s="75"/>
      <c r="AE132" s="75"/>
      <c r="AF132" s="75"/>
      <c r="AG132" s="75"/>
      <c r="AH132" s="90"/>
      <c r="AI132" s="25">
        <f t="shared" si="158"/>
        <v>0</v>
      </c>
      <c r="AJ132" s="75">
        <f t="shared" si="206"/>
        <v>0</v>
      </c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25">
        <f t="shared" si="160"/>
        <v>1</v>
      </c>
      <c r="BF132" s="75">
        <f t="shared" si="207"/>
        <v>35000000</v>
      </c>
      <c r="BG132" s="75">
        <f t="shared" si="208"/>
        <v>0</v>
      </c>
      <c r="BH132" s="75">
        <f t="shared" si="209"/>
        <v>0</v>
      </c>
      <c r="BI132" s="75"/>
      <c r="BJ132" s="75">
        <f t="shared" si="210"/>
        <v>0</v>
      </c>
      <c r="BK132" s="75">
        <f t="shared" si="211"/>
        <v>0</v>
      </c>
      <c r="BL132" s="75">
        <f t="shared" si="212"/>
        <v>0</v>
      </c>
      <c r="BM132" s="75">
        <f t="shared" si="213"/>
        <v>0</v>
      </c>
      <c r="BN132" s="75"/>
      <c r="BO132" s="75">
        <f t="shared" si="214"/>
        <v>0</v>
      </c>
      <c r="BP132" s="75">
        <f t="shared" si="215"/>
        <v>0</v>
      </c>
      <c r="BQ132" s="75">
        <f t="shared" si="216"/>
        <v>0</v>
      </c>
      <c r="BR132" s="75">
        <f t="shared" si="217"/>
        <v>35000000</v>
      </c>
      <c r="BS132" s="75">
        <f t="shared" si="218"/>
        <v>0</v>
      </c>
      <c r="BT132" s="75">
        <f t="shared" si="219"/>
        <v>0</v>
      </c>
      <c r="BU132" s="75">
        <f t="shared" si="220"/>
        <v>0</v>
      </c>
      <c r="BV132" s="75">
        <f t="shared" si="221"/>
        <v>0</v>
      </c>
      <c r="BW132" s="75">
        <f t="shared" si="222"/>
        <v>0</v>
      </c>
      <c r="BX132" s="75"/>
      <c r="BY132" s="75">
        <f t="shared" si="240"/>
        <v>0</v>
      </c>
      <c r="BZ132" s="75">
        <f t="shared" si="223"/>
        <v>0</v>
      </c>
      <c r="CA132" s="25">
        <f t="shared" si="168"/>
        <v>0</v>
      </c>
      <c r="CB132" s="75">
        <f t="shared" si="224"/>
        <v>0</v>
      </c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25">
        <f t="shared" si="170"/>
        <v>1</v>
      </c>
      <c r="CX132" s="75">
        <f t="shared" si="225"/>
        <v>35000000</v>
      </c>
      <c r="CY132" s="75"/>
      <c r="CZ132" s="75"/>
      <c r="DA132" s="75"/>
      <c r="DB132" s="75">
        <f t="shared" si="226"/>
        <v>0</v>
      </c>
      <c r="DC132" s="75">
        <f t="shared" si="227"/>
        <v>0</v>
      </c>
      <c r="DD132" s="75">
        <f t="shared" si="228"/>
        <v>0</v>
      </c>
      <c r="DE132" s="75">
        <f t="shared" si="229"/>
        <v>0</v>
      </c>
      <c r="DF132" s="75"/>
      <c r="DG132" s="75">
        <f t="shared" si="230"/>
        <v>0</v>
      </c>
      <c r="DH132" s="75">
        <f t="shared" si="231"/>
        <v>0</v>
      </c>
      <c r="DI132" s="75"/>
      <c r="DJ132" s="75">
        <f t="shared" si="232"/>
        <v>35000000</v>
      </c>
      <c r="DK132" s="75">
        <f t="shared" si="233"/>
        <v>0</v>
      </c>
      <c r="DL132" s="75">
        <f t="shared" si="234"/>
        <v>0</v>
      </c>
      <c r="DM132" s="75">
        <f t="shared" si="235"/>
        <v>0</v>
      </c>
      <c r="DN132" s="75">
        <f t="shared" si="236"/>
        <v>0</v>
      </c>
      <c r="DO132" s="75">
        <f t="shared" si="237"/>
        <v>0</v>
      </c>
      <c r="DP132" s="75">
        <f t="shared" si="238"/>
        <v>0</v>
      </c>
      <c r="DQ132" s="75"/>
      <c r="DR132" s="75">
        <f t="shared" si="239"/>
        <v>0</v>
      </c>
    </row>
    <row r="133" spans="1:123" ht="28.5" customHeight="1" x14ac:dyDescent="0.25">
      <c r="A133" s="246"/>
      <c r="B133" s="85"/>
      <c r="C133" s="86" t="s">
        <v>138</v>
      </c>
      <c r="D133" s="81" t="s">
        <v>137</v>
      </c>
      <c r="E133" s="80">
        <v>111</v>
      </c>
      <c r="F133" s="78" t="s">
        <v>12</v>
      </c>
      <c r="G133" s="228"/>
      <c r="H133" s="79">
        <f t="shared" si="203"/>
        <v>0</v>
      </c>
      <c r="I133" s="79">
        <f t="shared" si="204"/>
        <v>0</v>
      </c>
      <c r="J133" s="78"/>
      <c r="K133" s="78"/>
      <c r="L133" s="78"/>
      <c r="M133" s="75">
        <f t="shared" si="205"/>
        <v>0</v>
      </c>
      <c r="N133" s="75"/>
      <c r="O133" s="75"/>
      <c r="P133" s="75"/>
      <c r="Q133" s="75">
        <f>1804000000-636519551-639181389-128000000-400299060</f>
        <v>0</v>
      </c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90"/>
      <c r="AI133" s="25" t="e">
        <f t="shared" si="158"/>
        <v>#DIV/0!</v>
      </c>
      <c r="AJ133" s="75">
        <f t="shared" si="206"/>
        <v>0</v>
      </c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25" t="e">
        <f t="shared" si="160"/>
        <v>#DIV/0!</v>
      </c>
      <c r="BF133" s="75">
        <f t="shared" si="207"/>
        <v>0</v>
      </c>
      <c r="BG133" s="75">
        <f t="shared" si="208"/>
        <v>0</v>
      </c>
      <c r="BH133" s="75">
        <f t="shared" si="209"/>
        <v>0</v>
      </c>
      <c r="BI133" s="75"/>
      <c r="BJ133" s="75">
        <f t="shared" si="210"/>
        <v>0</v>
      </c>
      <c r="BK133" s="75">
        <f t="shared" si="211"/>
        <v>0</v>
      </c>
      <c r="BL133" s="75">
        <f t="shared" si="212"/>
        <v>0</v>
      </c>
      <c r="BM133" s="75">
        <f t="shared" si="213"/>
        <v>0</v>
      </c>
      <c r="BN133" s="75"/>
      <c r="BO133" s="75">
        <f t="shared" si="214"/>
        <v>0</v>
      </c>
      <c r="BP133" s="75">
        <f t="shared" si="215"/>
        <v>0</v>
      </c>
      <c r="BQ133" s="75">
        <f t="shared" si="216"/>
        <v>0</v>
      </c>
      <c r="BR133" s="75">
        <f t="shared" si="217"/>
        <v>0</v>
      </c>
      <c r="BS133" s="75">
        <f t="shared" si="218"/>
        <v>0</v>
      </c>
      <c r="BT133" s="75">
        <f t="shared" si="219"/>
        <v>0</v>
      </c>
      <c r="BU133" s="75">
        <f t="shared" si="220"/>
        <v>0</v>
      </c>
      <c r="BV133" s="75">
        <f t="shared" si="221"/>
        <v>0</v>
      </c>
      <c r="BW133" s="75">
        <f t="shared" si="222"/>
        <v>0</v>
      </c>
      <c r="BX133" s="75"/>
      <c r="BY133" s="75">
        <f t="shared" si="240"/>
        <v>0</v>
      </c>
      <c r="BZ133" s="75">
        <f t="shared" si="223"/>
        <v>0</v>
      </c>
      <c r="CA133" s="25" t="e">
        <f t="shared" si="168"/>
        <v>#DIV/0!</v>
      </c>
      <c r="CB133" s="75">
        <f t="shared" si="224"/>
        <v>0</v>
      </c>
      <c r="CC133" s="75"/>
      <c r="CD133" s="75"/>
      <c r="CE133" s="75"/>
      <c r="CF133" s="75"/>
      <c r="CG133" s="75"/>
      <c r="CH133" s="75"/>
      <c r="CI133" s="75"/>
      <c r="CJ133" s="75"/>
      <c r="CK133" s="75"/>
      <c r="CL133" s="75"/>
      <c r="CM133" s="75"/>
      <c r="CN133" s="75"/>
      <c r="CO133" s="75"/>
      <c r="CP133" s="75"/>
      <c r="CQ133" s="75"/>
      <c r="CR133" s="75"/>
      <c r="CS133" s="75"/>
      <c r="CT133" s="75"/>
      <c r="CU133" s="75"/>
      <c r="CV133" s="75"/>
      <c r="CW133" s="25" t="e">
        <f t="shared" si="170"/>
        <v>#DIV/0!</v>
      </c>
      <c r="CX133" s="75">
        <f t="shared" si="225"/>
        <v>0</v>
      </c>
      <c r="CY133" s="75"/>
      <c r="CZ133" s="75"/>
      <c r="DA133" s="75"/>
      <c r="DB133" s="75">
        <f t="shared" si="226"/>
        <v>0</v>
      </c>
      <c r="DC133" s="75">
        <f t="shared" si="227"/>
        <v>0</v>
      </c>
      <c r="DD133" s="75">
        <f t="shared" si="228"/>
        <v>0</v>
      </c>
      <c r="DE133" s="75">
        <f t="shared" si="229"/>
        <v>0</v>
      </c>
      <c r="DF133" s="75"/>
      <c r="DG133" s="75">
        <f t="shared" si="230"/>
        <v>0</v>
      </c>
      <c r="DH133" s="75">
        <f t="shared" si="231"/>
        <v>0</v>
      </c>
      <c r="DI133" s="75"/>
      <c r="DJ133" s="75">
        <f t="shared" si="232"/>
        <v>0</v>
      </c>
      <c r="DK133" s="75">
        <f t="shared" si="233"/>
        <v>0</v>
      </c>
      <c r="DL133" s="75">
        <f t="shared" si="234"/>
        <v>0</v>
      </c>
      <c r="DM133" s="75">
        <f t="shared" si="235"/>
        <v>0</v>
      </c>
      <c r="DN133" s="75">
        <f t="shared" si="236"/>
        <v>0</v>
      </c>
      <c r="DO133" s="75">
        <f t="shared" si="237"/>
        <v>0</v>
      </c>
      <c r="DP133" s="75">
        <f t="shared" si="238"/>
        <v>0</v>
      </c>
      <c r="DQ133" s="75"/>
      <c r="DR133" s="75">
        <f t="shared" si="239"/>
        <v>0</v>
      </c>
    </row>
    <row r="134" spans="1:123" ht="21" customHeight="1" x14ac:dyDescent="0.25">
      <c r="A134" s="246"/>
      <c r="B134" s="85"/>
      <c r="C134" s="86" t="s">
        <v>136</v>
      </c>
      <c r="D134" s="81" t="s">
        <v>135</v>
      </c>
      <c r="E134" s="80">
        <v>111</v>
      </c>
      <c r="F134" s="78" t="s">
        <v>12</v>
      </c>
      <c r="G134" s="228"/>
      <c r="H134" s="79">
        <f t="shared" si="203"/>
        <v>375878510</v>
      </c>
      <c r="I134" s="79">
        <f t="shared" si="204"/>
        <v>180000000</v>
      </c>
      <c r="J134" s="78"/>
      <c r="K134" s="78"/>
      <c r="L134" s="78"/>
      <c r="M134" s="75">
        <f t="shared" si="205"/>
        <v>555878510</v>
      </c>
      <c r="N134" s="75"/>
      <c r="O134" s="75"/>
      <c r="P134" s="75"/>
      <c r="Q134" s="75">
        <f>424000000+400000000-448121490+180000000</f>
        <v>555878510</v>
      </c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90"/>
      <c r="AI134" s="25">
        <f t="shared" si="158"/>
        <v>0.67618823760609126</v>
      </c>
      <c r="AJ134" s="75">
        <f t="shared" si="206"/>
        <v>375878510</v>
      </c>
      <c r="AK134" s="75"/>
      <c r="AL134" s="75"/>
      <c r="AM134" s="75"/>
      <c r="AN134" s="75">
        <f>+'[10]MAYO 2015'!$L$79-11600</f>
        <v>375878510</v>
      </c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25">
        <f t="shared" si="160"/>
        <v>0.32381176239390874</v>
      </c>
      <c r="BF134" s="75">
        <f t="shared" si="207"/>
        <v>180000000</v>
      </c>
      <c r="BG134" s="75">
        <f t="shared" si="208"/>
        <v>0</v>
      </c>
      <c r="BH134" s="75">
        <f t="shared" si="209"/>
        <v>0</v>
      </c>
      <c r="BI134" s="75"/>
      <c r="BJ134" s="75">
        <f t="shared" si="210"/>
        <v>180000000</v>
      </c>
      <c r="BK134" s="75">
        <f t="shared" si="211"/>
        <v>0</v>
      </c>
      <c r="BL134" s="75">
        <f t="shared" si="212"/>
        <v>0</v>
      </c>
      <c r="BM134" s="75">
        <f t="shared" si="213"/>
        <v>0</v>
      </c>
      <c r="BN134" s="75"/>
      <c r="BO134" s="75">
        <f t="shared" si="214"/>
        <v>0</v>
      </c>
      <c r="BP134" s="75">
        <f t="shared" si="215"/>
        <v>0</v>
      </c>
      <c r="BQ134" s="75">
        <f t="shared" si="216"/>
        <v>0</v>
      </c>
      <c r="BR134" s="75">
        <f t="shared" si="217"/>
        <v>0</v>
      </c>
      <c r="BS134" s="75">
        <f t="shared" si="218"/>
        <v>0</v>
      </c>
      <c r="BT134" s="75">
        <f t="shared" si="219"/>
        <v>0</v>
      </c>
      <c r="BU134" s="75">
        <f t="shared" si="220"/>
        <v>0</v>
      </c>
      <c r="BV134" s="75">
        <f t="shared" si="221"/>
        <v>0</v>
      </c>
      <c r="BW134" s="75">
        <f t="shared" si="222"/>
        <v>0</v>
      </c>
      <c r="BX134" s="75"/>
      <c r="BY134" s="75">
        <f t="shared" si="240"/>
        <v>0</v>
      </c>
      <c r="BZ134" s="75">
        <f t="shared" si="223"/>
        <v>0</v>
      </c>
      <c r="CA134" s="25">
        <f t="shared" si="168"/>
        <v>0.67618823760609126</v>
      </c>
      <c r="CB134" s="75">
        <f t="shared" si="224"/>
        <v>375878510</v>
      </c>
      <c r="CC134" s="75"/>
      <c r="CD134" s="75"/>
      <c r="CE134" s="75"/>
      <c r="CF134" s="75">
        <v>375878510</v>
      </c>
      <c r="CG134" s="75"/>
      <c r="CH134" s="75"/>
      <c r="CI134" s="75"/>
      <c r="CJ134" s="75"/>
      <c r="CK134" s="75"/>
      <c r="CL134" s="75"/>
      <c r="CM134" s="75"/>
      <c r="CN134" s="75"/>
      <c r="CO134" s="75"/>
      <c r="CP134" s="75"/>
      <c r="CQ134" s="75"/>
      <c r="CR134" s="75"/>
      <c r="CS134" s="75"/>
      <c r="CT134" s="75"/>
      <c r="CU134" s="75"/>
      <c r="CV134" s="75"/>
      <c r="CW134" s="25">
        <f t="shared" si="170"/>
        <v>0.32381176239390874</v>
      </c>
      <c r="CX134" s="75">
        <f t="shared" si="225"/>
        <v>180000000</v>
      </c>
      <c r="CY134" s="75"/>
      <c r="CZ134" s="75"/>
      <c r="DA134" s="75"/>
      <c r="DB134" s="75">
        <f t="shared" si="226"/>
        <v>180000000</v>
      </c>
      <c r="DC134" s="75">
        <f t="shared" si="227"/>
        <v>0</v>
      </c>
      <c r="DD134" s="75">
        <f t="shared" si="228"/>
        <v>0</v>
      </c>
      <c r="DE134" s="75">
        <f t="shared" si="229"/>
        <v>0</v>
      </c>
      <c r="DF134" s="75"/>
      <c r="DG134" s="75">
        <f t="shared" si="230"/>
        <v>0</v>
      </c>
      <c r="DH134" s="75">
        <f t="shared" si="231"/>
        <v>0</v>
      </c>
      <c r="DI134" s="75"/>
      <c r="DJ134" s="75">
        <f t="shared" si="232"/>
        <v>0</v>
      </c>
      <c r="DK134" s="75">
        <f t="shared" si="233"/>
        <v>0</v>
      </c>
      <c r="DL134" s="75">
        <f t="shared" si="234"/>
        <v>0</v>
      </c>
      <c r="DM134" s="75">
        <f t="shared" si="235"/>
        <v>0</v>
      </c>
      <c r="DN134" s="75">
        <f t="shared" si="236"/>
        <v>0</v>
      </c>
      <c r="DO134" s="75">
        <f t="shared" si="237"/>
        <v>0</v>
      </c>
      <c r="DP134" s="75">
        <f t="shared" si="238"/>
        <v>0</v>
      </c>
      <c r="DQ134" s="75"/>
      <c r="DR134" s="75">
        <f t="shared" si="239"/>
        <v>0</v>
      </c>
    </row>
    <row r="135" spans="1:123" ht="31.5" customHeight="1" x14ac:dyDescent="0.25">
      <c r="A135" s="246"/>
      <c r="B135" s="85"/>
      <c r="C135" s="86" t="s">
        <v>134</v>
      </c>
      <c r="D135" s="81" t="s">
        <v>133</v>
      </c>
      <c r="E135" s="80">
        <v>111</v>
      </c>
      <c r="F135" s="78" t="s">
        <v>12</v>
      </c>
      <c r="G135" s="228"/>
      <c r="H135" s="79">
        <f t="shared" si="203"/>
        <v>0</v>
      </c>
      <c r="I135" s="79">
        <f t="shared" si="204"/>
        <v>0</v>
      </c>
      <c r="J135" s="78"/>
      <c r="K135" s="78"/>
      <c r="L135" s="78"/>
      <c r="M135" s="75">
        <f t="shared" si="205"/>
        <v>0</v>
      </c>
      <c r="N135" s="75"/>
      <c r="O135" s="75"/>
      <c r="P135" s="75"/>
      <c r="Q135" s="75">
        <f>212000000-212000000</f>
        <v>0</v>
      </c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90"/>
      <c r="AI135" s="25" t="e">
        <f t="shared" si="158"/>
        <v>#DIV/0!</v>
      </c>
      <c r="AJ135" s="75">
        <f t="shared" si="206"/>
        <v>0</v>
      </c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25" t="e">
        <f t="shared" si="160"/>
        <v>#DIV/0!</v>
      </c>
      <c r="BF135" s="75">
        <f t="shared" si="207"/>
        <v>0</v>
      </c>
      <c r="BG135" s="75">
        <f t="shared" si="208"/>
        <v>0</v>
      </c>
      <c r="BH135" s="75">
        <f t="shared" si="209"/>
        <v>0</v>
      </c>
      <c r="BI135" s="75"/>
      <c r="BJ135" s="75">
        <f t="shared" si="210"/>
        <v>0</v>
      </c>
      <c r="BK135" s="75">
        <f t="shared" si="211"/>
        <v>0</v>
      </c>
      <c r="BL135" s="75">
        <f t="shared" si="212"/>
        <v>0</v>
      </c>
      <c r="BM135" s="75">
        <f t="shared" si="213"/>
        <v>0</v>
      </c>
      <c r="BN135" s="75"/>
      <c r="BO135" s="75">
        <f t="shared" si="214"/>
        <v>0</v>
      </c>
      <c r="BP135" s="75">
        <f t="shared" si="215"/>
        <v>0</v>
      </c>
      <c r="BQ135" s="75">
        <f t="shared" si="216"/>
        <v>0</v>
      </c>
      <c r="BR135" s="75">
        <f t="shared" si="217"/>
        <v>0</v>
      </c>
      <c r="BS135" s="75">
        <f t="shared" si="218"/>
        <v>0</v>
      </c>
      <c r="BT135" s="75">
        <f t="shared" si="219"/>
        <v>0</v>
      </c>
      <c r="BU135" s="75">
        <f t="shared" si="220"/>
        <v>0</v>
      </c>
      <c r="BV135" s="75">
        <f t="shared" si="221"/>
        <v>0</v>
      </c>
      <c r="BW135" s="75">
        <f t="shared" si="222"/>
        <v>0</v>
      </c>
      <c r="BX135" s="75"/>
      <c r="BY135" s="75">
        <f t="shared" si="240"/>
        <v>0</v>
      </c>
      <c r="BZ135" s="75">
        <f t="shared" si="223"/>
        <v>0</v>
      </c>
      <c r="CA135" s="25" t="e">
        <f t="shared" si="168"/>
        <v>#DIV/0!</v>
      </c>
      <c r="CB135" s="75">
        <f t="shared" si="224"/>
        <v>0</v>
      </c>
      <c r="CC135" s="75"/>
      <c r="CD135" s="75"/>
      <c r="CE135" s="75"/>
      <c r="CF135" s="75"/>
      <c r="CG135" s="75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25" t="e">
        <f t="shared" si="170"/>
        <v>#DIV/0!</v>
      </c>
      <c r="CX135" s="75">
        <f t="shared" si="225"/>
        <v>0</v>
      </c>
      <c r="CY135" s="75"/>
      <c r="CZ135" s="75"/>
      <c r="DA135" s="75"/>
      <c r="DB135" s="75">
        <f t="shared" si="226"/>
        <v>0</v>
      </c>
      <c r="DC135" s="75">
        <f t="shared" si="227"/>
        <v>0</v>
      </c>
      <c r="DD135" s="75">
        <f t="shared" si="228"/>
        <v>0</v>
      </c>
      <c r="DE135" s="75">
        <f t="shared" si="229"/>
        <v>0</v>
      </c>
      <c r="DF135" s="75"/>
      <c r="DG135" s="75">
        <f t="shared" si="230"/>
        <v>0</v>
      </c>
      <c r="DH135" s="75">
        <f t="shared" si="231"/>
        <v>0</v>
      </c>
      <c r="DI135" s="75"/>
      <c r="DJ135" s="75">
        <f t="shared" si="232"/>
        <v>0</v>
      </c>
      <c r="DK135" s="75">
        <f t="shared" si="233"/>
        <v>0</v>
      </c>
      <c r="DL135" s="75">
        <f t="shared" si="234"/>
        <v>0</v>
      </c>
      <c r="DM135" s="75">
        <f t="shared" si="235"/>
        <v>0</v>
      </c>
      <c r="DN135" s="75">
        <f t="shared" si="236"/>
        <v>0</v>
      </c>
      <c r="DO135" s="75">
        <f t="shared" si="237"/>
        <v>0</v>
      </c>
      <c r="DP135" s="75">
        <f t="shared" si="238"/>
        <v>0</v>
      </c>
      <c r="DQ135" s="75"/>
      <c r="DR135" s="75">
        <f t="shared" si="239"/>
        <v>0</v>
      </c>
    </row>
    <row r="136" spans="1:123" ht="23.25" customHeight="1" x14ac:dyDescent="0.25">
      <c r="A136" s="246"/>
      <c r="B136" s="85"/>
      <c r="C136" s="86" t="s">
        <v>132</v>
      </c>
      <c r="D136" s="81" t="s">
        <v>131</v>
      </c>
      <c r="E136" s="80">
        <v>111</v>
      </c>
      <c r="F136" s="78" t="s">
        <v>12</v>
      </c>
      <c r="G136" s="228"/>
      <c r="H136" s="79">
        <f t="shared" si="203"/>
        <v>0</v>
      </c>
      <c r="I136" s="79">
        <f t="shared" si="204"/>
        <v>0</v>
      </c>
      <c r="J136" s="78"/>
      <c r="K136" s="78"/>
      <c r="L136" s="78"/>
      <c r="M136" s="75">
        <f t="shared" si="205"/>
        <v>0</v>
      </c>
      <c r="N136" s="75"/>
      <c r="O136" s="75"/>
      <c r="P136" s="75"/>
      <c r="Q136" s="75">
        <f>63600000-50000000-13600000</f>
        <v>0</v>
      </c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90"/>
      <c r="AI136" s="25" t="e">
        <f t="shared" si="158"/>
        <v>#DIV/0!</v>
      </c>
      <c r="AJ136" s="75">
        <f t="shared" si="206"/>
        <v>0</v>
      </c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25" t="e">
        <f t="shared" si="160"/>
        <v>#DIV/0!</v>
      </c>
      <c r="BF136" s="75">
        <f t="shared" si="207"/>
        <v>0</v>
      </c>
      <c r="BG136" s="75">
        <f t="shared" si="208"/>
        <v>0</v>
      </c>
      <c r="BH136" s="75">
        <f t="shared" si="209"/>
        <v>0</v>
      </c>
      <c r="BI136" s="75"/>
      <c r="BJ136" s="75">
        <f t="shared" si="210"/>
        <v>0</v>
      </c>
      <c r="BK136" s="75">
        <f t="shared" si="211"/>
        <v>0</v>
      </c>
      <c r="BL136" s="75">
        <f t="shared" si="212"/>
        <v>0</v>
      </c>
      <c r="BM136" s="75">
        <f t="shared" si="213"/>
        <v>0</v>
      </c>
      <c r="BN136" s="75"/>
      <c r="BO136" s="75">
        <f t="shared" si="214"/>
        <v>0</v>
      </c>
      <c r="BP136" s="75">
        <f t="shared" si="215"/>
        <v>0</v>
      </c>
      <c r="BQ136" s="75">
        <f t="shared" si="216"/>
        <v>0</v>
      </c>
      <c r="BR136" s="75">
        <f t="shared" si="217"/>
        <v>0</v>
      </c>
      <c r="BS136" s="75">
        <f t="shared" si="218"/>
        <v>0</v>
      </c>
      <c r="BT136" s="75">
        <f t="shared" si="219"/>
        <v>0</v>
      </c>
      <c r="BU136" s="75">
        <f t="shared" si="220"/>
        <v>0</v>
      </c>
      <c r="BV136" s="75">
        <f t="shared" si="221"/>
        <v>0</v>
      </c>
      <c r="BW136" s="75">
        <f t="shared" si="222"/>
        <v>0</v>
      </c>
      <c r="BX136" s="75"/>
      <c r="BY136" s="75">
        <f t="shared" si="240"/>
        <v>0</v>
      </c>
      <c r="BZ136" s="75">
        <f t="shared" si="223"/>
        <v>0</v>
      </c>
      <c r="CA136" s="25" t="e">
        <f t="shared" si="168"/>
        <v>#DIV/0!</v>
      </c>
      <c r="CB136" s="75">
        <f t="shared" si="224"/>
        <v>0</v>
      </c>
      <c r="CC136" s="75"/>
      <c r="CD136" s="75"/>
      <c r="CE136" s="75"/>
      <c r="CF136" s="75"/>
      <c r="CG136" s="75"/>
      <c r="CH136" s="75"/>
      <c r="CI136" s="75"/>
      <c r="CJ136" s="75"/>
      <c r="CK136" s="75"/>
      <c r="CL136" s="75"/>
      <c r="CM136" s="75"/>
      <c r="CN136" s="75"/>
      <c r="CO136" s="75"/>
      <c r="CP136" s="75"/>
      <c r="CQ136" s="75"/>
      <c r="CR136" s="75"/>
      <c r="CS136" s="75"/>
      <c r="CT136" s="75"/>
      <c r="CU136" s="75"/>
      <c r="CV136" s="75"/>
      <c r="CW136" s="25" t="e">
        <f t="shared" si="170"/>
        <v>#DIV/0!</v>
      </c>
      <c r="CX136" s="75">
        <f t="shared" si="225"/>
        <v>0</v>
      </c>
      <c r="CY136" s="75"/>
      <c r="CZ136" s="75"/>
      <c r="DA136" s="75"/>
      <c r="DB136" s="75">
        <f t="shared" si="226"/>
        <v>0</v>
      </c>
      <c r="DC136" s="75">
        <f t="shared" si="227"/>
        <v>0</v>
      </c>
      <c r="DD136" s="75">
        <f t="shared" si="228"/>
        <v>0</v>
      </c>
      <c r="DE136" s="75">
        <f t="shared" si="229"/>
        <v>0</v>
      </c>
      <c r="DF136" s="75"/>
      <c r="DG136" s="75">
        <f t="shared" si="230"/>
        <v>0</v>
      </c>
      <c r="DH136" s="75">
        <f t="shared" si="231"/>
        <v>0</v>
      </c>
      <c r="DI136" s="75"/>
      <c r="DJ136" s="75">
        <f t="shared" si="232"/>
        <v>0</v>
      </c>
      <c r="DK136" s="75">
        <f t="shared" si="233"/>
        <v>0</v>
      </c>
      <c r="DL136" s="75">
        <f t="shared" si="234"/>
        <v>0</v>
      </c>
      <c r="DM136" s="75">
        <f t="shared" si="235"/>
        <v>0</v>
      </c>
      <c r="DN136" s="75">
        <f t="shared" si="236"/>
        <v>0</v>
      </c>
      <c r="DO136" s="75">
        <f t="shared" si="237"/>
        <v>0</v>
      </c>
      <c r="DP136" s="75">
        <f t="shared" si="238"/>
        <v>0</v>
      </c>
      <c r="DQ136" s="75"/>
      <c r="DR136" s="75">
        <f t="shared" si="239"/>
        <v>0</v>
      </c>
    </row>
    <row r="137" spans="1:123" ht="34.5" customHeight="1" x14ac:dyDescent="0.25">
      <c r="A137" s="246"/>
      <c r="B137" s="85"/>
      <c r="C137" s="86" t="s">
        <v>130</v>
      </c>
      <c r="D137" s="81" t="s">
        <v>129</v>
      </c>
      <c r="E137" s="80">
        <v>111</v>
      </c>
      <c r="F137" s="78" t="s">
        <v>12</v>
      </c>
      <c r="G137" s="228"/>
      <c r="H137" s="79">
        <f t="shared" si="203"/>
        <v>0</v>
      </c>
      <c r="I137" s="79">
        <f t="shared" si="204"/>
        <v>121000000</v>
      </c>
      <c r="J137" s="78"/>
      <c r="K137" s="78"/>
      <c r="L137" s="78"/>
      <c r="M137" s="75">
        <f t="shared" si="205"/>
        <v>121000000</v>
      </c>
      <c r="N137" s="75"/>
      <c r="O137" s="75"/>
      <c r="P137" s="75"/>
      <c r="Q137" s="75">
        <f>1590000000+897519551-1587519551-900000000</f>
        <v>0</v>
      </c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>
        <v>121000000</v>
      </c>
      <c r="AH137" s="90"/>
      <c r="AI137" s="25">
        <f t="shared" ref="AI137:AI167" si="241">+AJ137/M137</f>
        <v>0</v>
      </c>
      <c r="AJ137" s="75">
        <f t="shared" si="206"/>
        <v>0</v>
      </c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25">
        <f t="shared" ref="BE137:BE167" si="242">1-AI137</f>
        <v>1</v>
      </c>
      <c r="BF137" s="75">
        <f t="shared" si="207"/>
        <v>121000000</v>
      </c>
      <c r="BG137" s="75">
        <f t="shared" si="208"/>
        <v>0</v>
      </c>
      <c r="BH137" s="75">
        <f t="shared" si="209"/>
        <v>0</v>
      </c>
      <c r="BI137" s="75"/>
      <c r="BJ137" s="75">
        <f t="shared" si="210"/>
        <v>0</v>
      </c>
      <c r="BK137" s="75">
        <f t="shared" si="211"/>
        <v>0</v>
      </c>
      <c r="BL137" s="75">
        <f t="shared" si="212"/>
        <v>0</v>
      </c>
      <c r="BM137" s="75">
        <f t="shared" si="213"/>
        <v>0</v>
      </c>
      <c r="BN137" s="75"/>
      <c r="BO137" s="75">
        <f t="shared" si="214"/>
        <v>0</v>
      </c>
      <c r="BP137" s="75">
        <f t="shared" si="215"/>
        <v>0</v>
      </c>
      <c r="BQ137" s="75">
        <f t="shared" si="216"/>
        <v>0</v>
      </c>
      <c r="BR137" s="75">
        <f t="shared" si="217"/>
        <v>0</v>
      </c>
      <c r="BS137" s="75">
        <f t="shared" si="218"/>
        <v>0</v>
      </c>
      <c r="BT137" s="75">
        <f t="shared" si="219"/>
        <v>0</v>
      </c>
      <c r="BU137" s="75">
        <f t="shared" si="220"/>
        <v>0</v>
      </c>
      <c r="BV137" s="75">
        <f t="shared" si="221"/>
        <v>0</v>
      </c>
      <c r="BW137" s="75">
        <f t="shared" si="222"/>
        <v>0</v>
      </c>
      <c r="BX137" s="75"/>
      <c r="BY137" s="75">
        <f t="shared" si="240"/>
        <v>0</v>
      </c>
      <c r="BZ137" s="75">
        <f t="shared" si="223"/>
        <v>121000000</v>
      </c>
      <c r="CA137" s="25">
        <f t="shared" ref="CA137:CA168" si="243">+CB137/M137</f>
        <v>0</v>
      </c>
      <c r="CB137" s="75">
        <f t="shared" si="224"/>
        <v>0</v>
      </c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25">
        <f t="shared" ref="CW137:CW167" si="244">1-CA137</f>
        <v>1</v>
      </c>
      <c r="CX137" s="75">
        <f t="shared" si="225"/>
        <v>121000000</v>
      </c>
      <c r="CY137" s="75"/>
      <c r="CZ137" s="75"/>
      <c r="DA137" s="75"/>
      <c r="DB137" s="75">
        <f t="shared" si="226"/>
        <v>0</v>
      </c>
      <c r="DC137" s="75">
        <f t="shared" si="227"/>
        <v>0</v>
      </c>
      <c r="DD137" s="75">
        <f t="shared" si="228"/>
        <v>0</v>
      </c>
      <c r="DE137" s="75">
        <f t="shared" si="229"/>
        <v>0</v>
      </c>
      <c r="DF137" s="75"/>
      <c r="DG137" s="75">
        <f t="shared" si="230"/>
        <v>0</v>
      </c>
      <c r="DH137" s="75">
        <f t="shared" si="231"/>
        <v>0</v>
      </c>
      <c r="DI137" s="75"/>
      <c r="DJ137" s="75">
        <f t="shared" si="232"/>
        <v>0</v>
      </c>
      <c r="DK137" s="75">
        <f t="shared" si="233"/>
        <v>0</v>
      </c>
      <c r="DL137" s="75">
        <f t="shared" si="234"/>
        <v>0</v>
      </c>
      <c r="DM137" s="75">
        <f t="shared" si="235"/>
        <v>0</v>
      </c>
      <c r="DN137" s="75">
        <f t="shared" si="236"/>
        <v>0</v>
      </c>
      <c r="DO137" s="75">
        <f t="shared" si="237"/>
        <v>0</v>
      </c>
      <c r="DP137" s="75">
        <f t="shared" si="238"/>
        <v>0</v>
      </c>
      <c r="DQ137" s="75"/>
      <c r="DR137" s="75">
        <f t="shared" si="239"/>
        <v>121000000</v>
      </c>
    </row>
    <row r="138" spans="1:123" ht="35.25" customHeight="1" x14ac:dyDescent="0.25">
      <c r="A138" s="246"/>
      <c r="B138" s="85"/>
      <c r="C138" s="86" t="s">
        <v>128</v>
      </c>
      <c r="D138" s="81" t="s">
        <v>127</v>
      </c>
      <c r="E138" s="80">
        <v>111</v>
      </c>
      <c r="F138" s="78" t="s">
        <v>12</v>
      </c>
      <c r="G138" s="228"/>
      <c r="H138" s="79">
        <f t="shared" si="203"/>
        <v>0</v>
      </c>
      <c r="I138" s="79">
        <f t="shared" si="204"/>
        <v>0</v>
      </c>
      <c r="J138" s="78"/>
      <c r="K138" s="78"/>
      <c r="L138" s="78"/>
      <c r="M138" s="75">
        <f t="shared" si="205"/>
        <v>0</v>
      </c>
      <c r="N138" s="45"/>
      <c r="O138" s="45"/>
      <c r="P138" s="45"/>
      <c r="Q138" s="75">
        <f>417803755-417803755</f>
        <v>0</v>
      </c>
      <c r="R138" s="45"/>
      <c r="S138" s="45"/>
      <c r="T138" s="45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45"/>
      <c r="AH138" s="90"/>
      <c r="AI138" s="25" t="e">
        <f t="shared" si="241"/>
        <v>#DIV/0!</v>
      </c>
      <c r="AJ138" s="75">
        <f t="shared" si="206"/>
        <v>0</v>
      </c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25" t="e">
        <f t="shared" si="242"/>
        <v>#DIV/0!</v>
      </c>
      <c r="BF138" s="75">
        <f t="shared" si="207"/>
        <v>0</v>
      </c>
      <c r="BG138" s="75">
        <f t="shared" si="208"/>
        <v>0</v>
      </c>
      <c r="BH138" s="75">
        <f t="shared" si="209"/>
        <v>0</v>
      </c>
      <c r="BI138" s="75"/>
      <c r="BJ138" s="75">
        <f t="shared" si="210"/>
        <v>0</v>
      </c>
      <c r="BK138" s="75">
        <f t="shared" si="211"/>
        <v>0</v>
      </c>
      <c r="BL138" s="75">
        <f t="shared" si="212"/>
        <v>0</v>
      </c>
      <c r="BM138" s="75">
        <f t="shared" si="213"/>
        <v>0</v>
      </c>
      <c r="BN138" s="75"/>
      <c r="BO138" s="75">
        <f t="shared" si="214"/>
        <v>0</v>
      </c>
      <c r="BP138" s="75">
        <f t="shared" si="215"/>
        <v>0</v>
      </c>
      <c r="BQ138" s="75">
        <f t="shared" si="216"/>
        <v>0</v>
      </c>
      <c r="BR138" s="75">
        <f t="shared" si="217"/>
        <v>0</v>
      </c>
      <c r="BS138" s="75">
        <f t="shared" si="218"/>
        <v>0</v>
      </c>
      <c r="BT138" s="75">
        <f t="shared" si="219"/>
        <v>0</v>
      </c>
      <c r="BU138" s="75">
        <f t="shared" si="220"/>
        <v>0</v>
      </c>
      <c r="BV138" s="75">
        <f t="shared" si="221"/>
        <v>0</v>
      </c>
      <c r="BW138" s="75">
        <f t="shared" si="222"/>
        <v>0</v>
      </c>
      <c r="BX138" s="75"/>
      <c r="BY138" s="75">
        <f t="shared" si="240"/>
        <v>0</v>
      </c>
      <c r="BZ138" s="75">
        <f t="shared" si="223"/>
        <v>0</v>
      </c>
      <c r="CA138" s="25" t="e">
        <f t="shared" si="243"/>
        <v>#DIV/0!</v>
      </c>
      <c r="CB138" s="75">
        <f t="shared" si="224"/>
        <v>0</v>
      </c>
      <c r="CC138" s="75"/>
      <c r="CD138" s="75"/>
      <c r="CE138" s="75"/>
      <c r="CF138" s="75"/>
      <c r="CG138" s="75"/>
      <c r="CH138" s="75"/>
      <c r="CI138" s="75"/>
      <c r="CJ138" s="75"/>
      <c r="CK138" s="75"/>
      <c r="CL138" s="75"/>
      <c r="CM138" s="75"/>
      <c r="CN138" s="75"/>
      <c r="CO138" s="75"/>
      <c r="CP138" s="75"/>
      <c r="CQ138" s="75"/>
      <c r="CR138" s="75"/>
      <c r="CS138" s="75"/>
      <c r="CT138" s="75"/>
      <c r="CU138" s="75"/>
      <c r="CV138" s="75"/>
      <c r="CW138" s="25" t="e">
        <f t="shared" si="244"/>
        <v>#DIV/0!</v>
      </c>
      <c r="CX138" s="75">
        <f t="shared" si="225"/>
        <v>0</v>
      </c>
      <c r="CY138" s="75"/>
      <c r="CZ138" s="75"/>
      <c r="DA138" s="75"/>
      <c r="DB138" s="75">
        <f t="shared" si="226"/>
        <v>0</v>
      </c>
      <c r="DC138" s="75">
        <f t="shared" si="227"/>
        <v>0</v>
      </c>
      <c r="DD138" s="75">
        <f t="shared" si="228"/>
        <v>0</v>
      </c>
      <c r="DE138" s="75">
        <f t="shared" si="229"/>
        <v>0</v>
      </c>
      <c r="DF138" s="75"/>
      <c r="DG138" s="75">
        <f t="shared" si="230"/>
        <v>0</v>
      </c>
      <c r="DH138" s="75">
        <f t="shared" si="231"/>
        <v>0</v>
      </c>
      <c r="DI138" s="75"/>
      <c r="DJ138" s="75">
        <f t="shared" si="232"/>
        <v>0</v>
      </c>
      <c r="DK138" s="75">
        <f t="shared" si="233"/>
        <v>0</v>
      </c>
      <c r="DL138" s="75">
        <f t="shared" si="234"/>
        <v>0</v>
      </c>
      <c r="DM138" s="75">
        <f t="shared" si="235"/>
        <v>0</v>
      </c>
      <c r="DN138" s="75">
        <f t="shared" si="236"/>
        <v>0</v>
      </c>
      <c r="DO138" s="75">
        <f t="shared" si="237"/>
        <v>0</v>
      </c>
      <c r="DP138" s="75">
        <f t="shared" si="238"/>
        <v>0</v>
      </c>
      <c r="DQ138" s="75"/>
      <c r="DR138" s="75">
        <f t="shared" si="239"/>
        <v>0</v>
      </c>
    </row>
    <row r="139" spans="1:123" ht="32.25" customHeight="1" x14ac:dyDescent="0.25">
      <c r="A139" s="246"/>
      <c r="B139" s="85"/>
      <c r="C139" s="86" t="s">
        <v>126</v>
      </c>
      <c r="D139" s="81" t="s">
        <v>125</v>
      </c>
      <c r="E139" s="80">
        <v>111</v>
      </c>
      <c r="F139" s="78" t="s">
        <v>12</v>
      </c>
      <c r="G139" s="228"/>
      <c r="H139" s="79">
        <f t="shared" si="203"/>
        <v>662075963</v>
      </c>
      <c r="I139" s="79">
        <f t="shared" si="204"/>
        <v>463285369</v>
      </c>
      <c r="J139" s="78"/>
      <c r="K139" s="78"/>
      <c r="L139" s="78"/>
      <c r="M139" s="75">
        <f t="shared" si="205"/>
        <v>1125361332</v>
      </c>
      <c r="N139" s="75"/>
      <c r="O139" s="75"/>
      <c r="P139" s="75"/>
      <c r="Q139" s="75">
        <f>371000000+890000000-104000000-133915719-12442500</f>
        <v>1010641781</v>
      </c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>
        <v>114719551</v>
      </c>
      <c r="AC139" s="75"/>
      <c r="AD139" s="75"/>
      <c r="AE139" s="75"/>
      <c r="AF139" s="75"/>
      <c r="AG139" s="75"/>
      <c r="AH139" s="90"/>
      <c r="AI139" s="25">
        <f t="shared" si="241"/>
        <v>0.58854690237393015</v>
      </c>
      <c r="AJ139" s="75">
        <f t="shared" si="206"/>
        <v>662327926</v>
      </c>
      <c r="AK139" s="75"/>
      <c r="AL139" s="75"/>
      <c r="AM139" s="75"/>
      <c r="AN139" s="75">
        <f>+'[1]AGOSTO 2015'!$M$125</f>
        <v>662327926</v>
      </c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25">
        <f t="shared" si="242"/>
        <v>0.41145309762606985</v>
      </c>
      <c r="BF139" s="75">
        <f t="shared" si="207"/>
        <v>463033406</v>
      </c>
      <c r="BG139" s="75">
        <f t="shared" si="208"/>
        <v>0</v>
      </c>
      <c r="BH139" s="75">
        <f t="shared" si="209"/>
        <v>0</v>
      </c>
      <c r="BI139" s="75"/>
      <c r="BJ139" s="75">
        <f t="shared" si="210"/>
        <v>348313855</v>
      </c>
      <c r="BK139" s="75">
        <f t="shared" si="211"/>
        <v>0</v>
      </c>
      <c r="BL139" s="75">
        <f t="shared" si="212"/>
        <v>0</v>
      </c>
      <c r="BM139" s="75">
        <f t="shared" si="213"/>
        <v>0</v>
      </c>
      <c r="BN139" s="75"/>
      <c r="BO139" s="75">
        <f t="shared" si="214"/>
        <v>0</v>
      </c>
      <c r="BP139" s="75">
        <f t="shared" si="215"/>
        <v>0</v>
      </c>
      <c r="BQ139" s="75">
        <f t="shared" si="216"/>
        <v>0</v>
      </c>
      <c r="BR139" s="75">
        <f t="shared" si="217"/>
        <v>0</v>
      </c>
      <c r="BS139" s="75">
        <f t="shared" si="218"/>
        <v>0</v>
      </c>
      <c r="BT139" s="75">
        <f t="shared" si="219"/>
        <v>0</v>
      </c>
      <c r="BU139" s="75">
        <f t="shared" si="220"/>
        <v>114719551</v>
      </c>
      <c r="BV139" s="75">
        <f t="shared" si="221"/>
        <v>0</v>
      </c>
      <c r="BW139" s="75">
        <f t="shared" si="222"/>
        <v>0</v>
      </c>
      <c r="BX139" s="75"/>
      <c r="BY139" s="75">
        <f t="shared" si="240"/>
        <v>0</v>
      </c>
      <c r="BZ139" s="75">
        <f t="shared" si="223"/>
        <v>0</v>
      </c>
      <c r="CA139" s="25">
        <f t="shared" si="243"/>
        <v>0.5883230071743748</v>
      </c>
      <c r="CB139" s="75">
        <f t="shared" si="224"/>
        <v>662075963</v>
      </c>
      <c r="CC139" s="75"/>
      <c r="CD139" s="75"/>
      <c r="CE139" s="75"/>
      <c r="CF139" s="75">
        <f>+'[1]AGOSTO 2015'!$H$126+'[1]AGOSTO 2015'!$H$128+'[1]AGOSTO 2015'!$H$130+'[1]AGOSTO 2015'!$H$133+'[1]AGOSTO 2015'!$H$135+'[1]AGOSTO 2015'!$H$137+'[1]AGOSTO 2015'!$H$139+'[1]AGOSTO 2015'!$H$141</f>
        <v>662075963</v>
      </c>
      <c r="CG139" s="75"/>
      <c r="CH139" s="75"/>
      <c r="CI139" s="75"/>
      <c r="CJ139" s="75"/>
      <c r="CK139" s="75"/>
      <c r="CL139" s="75"/>
      <c r="CM139" s="75"/>
      <c r="CN139" s="75"/>
      <c r="CO139" s="75"/>
      <c r="CP139" s="75"/>
      <c r="CQ139" s="75"/>
      <c r="CR139" s="75"/>
      <c r="CS139" s="75"/>
      <c r="CT139" s="75"/>
      <c r="CU139" s="75"/>
      <c r="CV139" s="75"/>
      <c r="CW139" s="25">
        <f t="shared" si="244"/>
        <v>0.4116769928256252</v>
      </c>
      <c r="CX139" s="75">
        <f t="shared" si="225"/>
        <v>463285369</v>
      </c>
      <c r="CY139" s="75"/>
      <c r="CZ139" s="75"/>
      <c r="DA139" s="75"/>
      <c r="DB139" s="75">
        <f t="shared" si="226"/>
        <v>348565818</v>
      </c>
      <c r="DC139" s="75">
        <f t="shared" si="227"/>
        <v>0</v>
      </c>
      <c r="DD139" s="75">
        <f t="shared" si="228"/>
        <v>0</v>
      </c>
      <c r="DE139" s="75">
        <f t="shared" si="229"/>
        <v>0</v>
      </c>
      <c r="DF139" s="75"/>
      <c r="DG139" s="75">
        <f t="shared" si="230"/>
        <v>0</v>
      </c>
      <c r="DH139" s="75">
        <f t="shared" si="231"/>
        <v>0</v>
      </c>
      <c r="DI139" s="75"/>
      <c r="DJ139" s="75">
        <f t="shared" si="232"/>
        <v>0</v>
      </c>
      <c r="DK139" s="75">
        <f t="shared" si="233"/>
        <v>0</v>
      </c>
      <c r="DL139" s="75">
        <f t="shared" si="234"/>
        <v>0</v>
      </c>
      <c r="DM139" s="75">
        <f t="shared" si="235"/>
        <v>114719551</v>
      </c>
      <c r="DN139" s="75">
        <f t="shared" si="236"/>
        <v>0</v>
      </c>
      <c r="DO139" s="75">
        <f t="shared" si="237"/>
        <v>0</v>
      </c>
      <c r="DP139" s="75">
        <f t="shared" si="238"/>
        <v>0</v>
      </c>
      <c r="DQ139" s="75"/>
      <c r="DR139" s="75">
        <f t="shared" si="239"/>
        <v>0</v>
      </c>
    </row>
    <row r="140" spans="1:123" ht="50.25" customHeight="1" x14ac:dyDescent="0.25">
      <c r="A140" s="246"/>
      <c r="B140" s="85"/>
      <c r="C140" s="86" t="s">
        <v>124</v>
      </c>
      <c r="D140" s="81" t="s">
        <v>123</v>
      </c>
      <c r="E140" s="80">
        <v>111</v>
      </c>
      <c r="F140" s="78" t="s">
        <v>12</v>
      </c>
      <c r="G140" s="228"/>
      <c r="H140" s="79">
        <f t="shared" si="203"/>
        <v>239600131</v>
      </c>
      <c r="I140" s="79">
        <f t="shared" si="204"/>
        <v>999869</v>
      </c>
      <c r="J140" s="78"/>
      <c r="K140" s="78"/>
      <c r="L140" s="78"/>
      <c r="M140" s="75">
        <f t="shared" si="205"/>
        <v>240600000</v>
      </c>
      <c r="N140" s="75"/>
      <c r="O140" s="75"/>
      <c r="P140" s="75"/>
      <c r="Q140" s="75">
        <f>540600000-300000000</f>
        <v>240600000</v>
      </c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90"/>
      <c r="AI140" s="25">
        <f t="shared" si="241"/>
        <v>0.99590349542809642</v>
      </c>
      <c r="AJ140" s="75">
        <f t="shared" si="206"/>
        <v>239614381</v>
      </c>
      <c r="AK140" s="75"/>
      <c r="AL140" s="75"/>
      <c r="AM140" s="75"/>
      <c r="AN140" s="75">
        <f>+'[2]JULIO 2015'!$M$140</f>
        <v>239614381</v>
      </c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25">
        <f t="shared" si="242"/>
        <v>4.0965045719035809E-3</v>
      </c>
      <c r="BF140" s="75">
        <f t="shared" si="207"/>
        <v>985619</v>
      </c>
      <c r="BG140" s="75">
        <f t="shared" si="208"/>
        <v>0</v>
      </c>
      <c r="BH140" s="75">
        <f t="shared" si="209"/>
        <v>0</v>
      </c>
      <c r="BI140" s="75"/>
      <c r="BJ140" s="75">
        <f t="shared" si="210"/>
        <v>985619</v>
      </c>
      <c r="BK140" s="75">
        <f t="shared" si="211"/>
        <v>0</v>
      </c>
      <c r="BL140" s="75">
        <f t="shared" si="212"/>
        <v>0</v>
      </c>
      <c r="BM140" s="75">
        <f t="shared" si="213"/>
        <v>0</v>
      </c>
      <c r="BN140" s="75"/>
      <c r="BO140" s="75">
        <f t="shared" si="214"/>
        <v>0</v>
      </c>
      <c r="BP140" s="75">
        <f t="shared" si="215"/>
        <v>0</v>
      </c>
      <c r="BQ140" s="75">
        <f t="shared" si="216"/>
        <v>0</v>
      </c>
      <c r="BR140" s="75">
        <f t="shared" si="217"/>
        <v>0</v>
      </c>
      <c r="BS140" s="75">
        <f t="shared" si="218"/>
        <v>0</v>
      </c>
      <c r="BT140" s="75">
        <f t="shared" si="219"/>
        <v>0</v>
      </c>
      <c r="BU140" s="75">
        <f t="shared" si="220"/>
        <v>0</v>
      </c>
      <c r="BV140" s="75">
        <f t="shared" si="221"/>
        <v>0</v>
      </c>
      <c r="BW140" s="75">
        <f t="shared" si="222"/>
        <v>0</v>
      </c>
      <c r="BX140" s="75"/>
      <c r="BY140" s="75">
        <f t="shared" si="240"/>
        <v>0</v>
      </c>
      <c r="BZ140" s="75">
        <f t="shared" si="223"/>
        <v>0</v>
      </c>
      <c r="CA140" s="25">
        <f t="shared" si="243"/>
        <v>0.99584426849542806</v>
      </c>
      <c r="CB140" s="75">
        <f t="shared" si="224"/>
        <v>239600131</v>
      </c>
      <c r="CC140" s="75"/>
      <c r="CD140" s="75"/>
      <c r="CE140" s="75"/>
      <c r="CF140" s="75">
        <f>+'[2]JULIO 2015'!$H$138</f>
        <v>239600131</v>
      </c>
      <c r="CG140" s="75"/>
      <c r="CH140" s="75"/>
      <c r="CI140" s="75"/>
      <c r="CJ140" s="75"/>
      <c r="CK140" s="75"/>
      <c r="CL140" s="75"/>
      <c r="CM140" s="75"/>
      <c r="CN140" s="75"/>
      <c r="CO140" s="75"/>
      <c r="CP140" s="75"/>
      <c r="CQ140" s="75"/>
      <c r="CR140" s="75"/>
      <c r="CS140" s="75"/>
      <c r="CT140" s="75"/>
      <c r="CU140" s="75"/>
      <c r="CV140" s="75"/>
      <c r="CW140" s="25">
        <f t="shared" si="244"/>
        <v>4.1557315045719356E-3</v>
      </c>
      <c r="CX140" s="75">
        <f t="shared" si="225"/>
        <v>999869</v>
      </c>
      <c r="CY140" s="75"/>
      <c r="CZ140" s="75"/>
      <c r="DA140" s="75"/>
      <c r="DB140" s="75">
        <f t="shared" si="226"/>
        <v>999869</v>
      </c>
      <c r="DC140" s="75">
        <f t="shared" si="227"/>
        <v>0</v>
      </c>
      <c r="DD140" s="75">
        <f t="shared" si="228"/>
        <v>0</v>
      </c>
      <c r="DE140" s="75">
        <f t="shared" si="229"/>
        <v>0</v>
      </c>
      <c r="DF140" s="75"/>
      <c r="DG140" s="75">
        <f t="shared" si="230"/>
        <v>0</v>
      </c>
      <c r="DH140" s="75">
        <f t="shared" si="231"/>
        <v>0</v>
      </c>
      <c r="DI140" s="75"/>
      <c r="DJ140" s="75">
        <f t="shared" si="232"/>
        <v>0</v>
      </c>
      <c r="DK140" s="75">
        <f t="shared" si="233"/>
        <v>0</v>
      </c>
      <c r="DL140" s="75">
        <f t="shared" si="234"/>
        <v>0</v>
      </c>
      <c r="DM140" s="75">
        <f t="shared" si="235"/>
        <v>0</v>
      </c>
      <c r="DN140" s="75">
        <f t="shared" si="236"/>
        <v>0</v>
      </c>
      <c r="DO140" s="75">
        <f t="shared" si="237"/>
        <v>0</v>
      </c>
      <c r="DP140" s="75">
        <f t="shared" si="238"/>
        <v>0</v>
      </c>
      <c r="DQ140" s="75"/>
      <c r="DR140" s="75">
        <f t="shared" si="239"/>
        <v>0</v>
      </c>
    </row>
    <row r="141" spans="1:123" ht="48" customHeight="1" x14ac:dyDescent="0.25">
      <c r="A141" s="246"/>
      <c r="B141" s="85"/>
      <c r="C141" s="86" t="s">
        <v>122</v>
      </c>
      <c r="D141" s="81" t="s">
        <v>121</v>
      </c>
      <c r="E141" s="80">
        <v>111</v>
      </c>
      <c r="F141" s="78" t="s">
        <v>12</v>
      </c>
      <c r="G141" s="228"/>
      <c r="H141" s="79">
        <f t="shared" si="203"/>
        <v>0</v>
      </c>
      <c r="I141" s="79">
        <f t="shared" si="204"/>
        <v>0</v>
      </c>
      <c r="J141" s="78"/>
      <c r="K141" s="78"/>
      <c r="L141" s="78"/>
      <c r="M141" s="75">
        <f t="shared" si="205"/>
        <v>0</v>
      </c>
      <c r="N141" s="75"/>
      <c r="O141" s="75"/>
      <c r="P141" s="75"/>
      <c r="Q141" s="75">
        <f>2968000000-968000000-897000000-103000000-1000000000</f>
        <v>0</v>
      </c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90"/>
      <c r="AI141" s="25" t="e">
        <f t="shared" si="241"/>
        <v>#DIV/0!</v>
      </c>
      <c r="AJ141" s="75">
        <f t="shared" si="206"/>
        <v>0</v>
      </c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25" t="e">
        <f t="shared" si="242"/>
        <v>#DIV/0!</v>
      </c>
      <c r="BF141" s="75">
        <f t="shared" si="207"/>
        <v>0</v>
      </c>
      <c r="BG141" s="75">
        <f t="shared" si="208"/>
        <v>0</v>
      </c>
      <c r="BH141" s="75">
        <f t="shared" si="209"/>
        <v>0</v>
      </c>
      <c r="BI141" s="75"/>
      <c r="BJ141" s="75">
        <f t="shared" si="210"/>
        <v>0</v>
      </c>
      <c r="BK141" s="75">
        <f t="shared" si="211"/>
        <v>0</v>
      </c>
      <c r="BL141" s="75">
        <f t="shared" si="212"/>
        <v>0</v>
      </c>
      <c r="BM141" s="75">
        <f t="shared" si="213"/>
        <v>0</v>
      </c>
      <c r="BN141" s="75"/>
      <c r="BO141" s="75">
        <f t="shared" si="214"/>
        <v>0</v>
      </c>
      <c r="BP141" s="75">
        <f t="shared" si="215"/>
        <v>0</v>
      </c>
      <c r="BQ141" s="75">
        <f t="shared" si="216"/>
        <v>0</v>
      </c>
      <c r="BR141" s="75">
        <f t="shared" si="217"/>
        <v>0</v>
      </c>
      <c r="BS141" s="75">
        <f t="shared" si="218"/>
        <v>0</v>
      </c>
      <c r="BT141" s="75">
        <f t="shared" si="219"/>
        <v>0</v>
      </c>
      <c r="BU141" s="75">
        <f t="shared" si="220"/>
        <v>0</v>
      </c>
      <c r="BV141" s="75">
        <f t="shared" si="221"/>
        <v>0</v>
      </c>
      <c r="BW141" s="75">
        <f t="shared" si="222"/>
        <v>0</v>
      </c>
      <c r="BX141" s="75"/>
      <c r="BY141" s="75">
        <f t="shared" si="240"/>
        <v>0</v>
      </c>
      <c r="BZ141" s="75">
        <f t="shared" si="223"/>
        <v>0</v>
      </c>
      <c r="CA141" s="25" t="e">
        <f t="shared" si="243"/>
        <v>#DIV/0!</v>
      </c>
      <c r="CB141" s="75">
        <f t="shared" si="224"/>
        <v>0</v>
      </c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25" t="e">
        <f t="shared" si="244"/>
        <v>#DIV/0!</v>
      </c>
      <c r="CX141" s="75">
        <f t="shared" si="225"/>
        <v>0</v>
      </c>
      <c r="CY141" s="75"/>
      <c r="CZ141" s="75"/>
      <c r="DA141" s="75"/>
      <c r="DB141" s="75">
        <f t="shared" si="226"/>
        <v>0</v>
      </c>
      <c r="DC141" s="75">
        <f t="shared" si="227"/>
        <v>0</v>
      </c>
      <c r="DD141" s="75">
        <f t="shared" si="228"/>
        <v>0</v>
      </c>
      <c r="DE141" s="75">
        <f t="shared" si="229"/>
        <v>0</v>
      </c>
      <c r="DF141" s="75"/>
      <c r="DG141" s="75">
        <f t="shared" si="230"/>
        <v>0</v>
      </c>
      <c r="DH141" s="75">
        <f t="shared" si="231"/>
        <v>0</v>
      </c>
      <c r="DI141" s="75"/>
      <c r="DJ141" s="75">
        <f t="shared" si="232"/>
        <v>0</v>
      </c>
      <c r="DK141" s="75">
        <f t="shared" si="233"/>
        <v>0</v>
      </c>
      <c r="DL141" s="75">
        <f t="shared" si="234"/>
        <v>0</v>
      </c>
      <c r="DM141" s="75">
        <f t="shared" si="235"/>
        <v>0</v>
      </c>
      <c r="DN141" s="75">
        <f t="shared" si="236"/>
        <v>0</v>
      </c>
      <c r="DO141" s="75">
        <f t="shared" si="237"/>
        <v>0</v>
      </c>
      <c r="DP141" s="75">
        <f t="shared" si="238"/>
        <v>0</v>
      </c>
      <c r="DQ141" s="75"/>
      <c r="DR141" s="75">
        <f t="shared" si="239"/>
        <v>0</v>
      </c>
    </row>
    <row r="142" spans="1:123" ht="64.5" customHeight="1" x14ac:dyDescent="0.25">
      <c r="A142" s="246"/>
      <c r="B142" s="85"/>
      <c r="C142" s="86" t="s">
        <v>120</v>
      </c>
      <c r="D142" s="81" t="s">
        <v>119</v>
      </c>
      <c r="E142" s="80">
        <v>111</v>
      </c>
      <c r="F142" s="78" t="s">
        <v>118</v>
      </c>
      <c r="G142" s="228"/>
      <c r="H142" s="79">
        <f t="shared" si="203"/>
        <v>21261400</v>
      </c>
      <c r="I142" s="79">
        <f t="shared" si="204"/>
        <v>64238600</v>
      </c>
      <c r="J142" s="78"/>
      <c r="K142" s="78"/>
      <c r="L142" s="78"/>
      <c r="M142" s="75">
        <f t="shared" si="205"/>
        <v>85500000</v>
      </c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>
        <f>587519551+2000000+10000000+37000000-597519551+46500000</f>
        <v>85500000</v>
      </c>
      <c r="AH142" s="90"/>
      <c r="AI142" s="25">
        <f t="shared" si="241"/>
        <v>0.84345029239766078</v>
      </c>
      <c r="AJ142" s="75">
        <f t="shared" si="206"/>
        <v>72115000</v>
      </c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>
        <f>+'[1]AGOSTO 2015'!$G$156</f>
        <v>72115000</v>
      </c>
      <c r="BE142" s="25">
        <f t="shared" si="242"/>
        <v>0.15654970760233922</v>
      </c>
      <c r="BF142" s="75">
        <f t="shared" si="207"/>
        <v>13385000</v>
      </c>
      <c r="BG142" s="75">
        <f t="shared" si="208"/>
        <v>0</v>
      </c>
      <c r="BH142" s="75">
        <f t="shared" si="209"/>
        <v>0</v>
      </c>
      <c r="BI142" s="75"/>
      <c r="BJ142" s="75">
        <f t="shared" si="210"/>
        <v>0</v>
      </c>
      <c r="BK142" s="75">
        <f t="shared" si="211"/>
        <v>0</v>
      </c>
      <c r="BL142" s="75">
        <f t="shared" si="212"/>
        <v>0</v>
      </c>
      <c r="BM142" s="75">
        <f t="shared" si="213"/>
        <v>0</v>
      </c>
      <c r="BN142" s="75"/>
      <c r="BO142" s="75">
        <f t="shared" si="214"/>
        <v>0</v>
      </c>
      <c r="BP142" s="75">
        <f t="shared" si="215"/>
        <v>0</v>
      </c>
      <c r="BQ142" s="75">
        <f t="shared" si="216"/>
        <v>0</v>
      </c>
      <c r="BR142" s="75">
        <f t="shared" si="217"/>
        <v>0</v>
      </c>
      <c r="BS142" s="75">
        <f t="shared" si="218"/>
        <v>0</v>
      </c>
      <c r="BT142" s="75">
        <f t="shared" si="219"/>
        <v>0</v>
      </c>
      <c r="BU142" s="75">
        <f t="shared" si="220"/>
        <v>0</v>
      </c>
      <c r="BV142" s="75">
        <f t="shared" si="221"/>
        <v>0</v>
      </c>
      <c r="BW142" s="75">
        <f t="shared" si="222"/>
        <v>0</v>
      </c>
      <c r="BX142" s="75"/>
      <c r="BY142" s="75">
        <f t="shared" si="240"/>
        <v>0</v>
      </c>
      <c r="BZ142" s="75">
        <f t="shared" si="223"/>
        <v>13385000</v>
      </c>
      <c r="CA142" s="25">
        <f t="shared" si="243"/>
        <v>0.24867134502923977</v>
      </c>
      <c r="CB142" s="75">
        <f t="shared" si="224"/>
        <v>21261400</v>
      </c>
      <c r="CC142" s="75"/>
      <c r="CD142" s="75"/>
      <c r="CE142" s="75"/>
      <c r="CF142" s="75"/>
      <c r="CG142" s="75"/>
      <c r="CH142" s="75"/>
      <c r="CI142" s="75"/>
      <c r="CJ142" s="75"/>
      <c r="CK142" s="75"/>
      <c r="CL142" s="75"/>
      <c r="CM142" s="75"/>
      <c r="CN142" s="75"/>
      <c r="CO142" s="75"/>
      <c r="CP142" s="75"/>
      <c r="CQ142" s="75"/>
      <c r="CR142" s="75"/>
      <c r="CS142" s="75"/>
      <c r="CT142" s="75"/>
      <c r="CU142" s="75"/>
      <c r="CV142" s="75">
        <f>+'[1]AGOSTO 2015'!$H$156</f>
        <v>21261400</v>
      </c>
      <c r="CW142" s="25">
        <f t="shared" si="244"/>
        <v>0.75132865497076029</v>
      </c>
      <c r="CX142" s="75">
        <f t="shared" si="225"/>
        <v>64238600</v>
      </c>
      <c r="CY142" s="75"/>
      <c r="CZ142" s="75"/>
      <c r="DA142" s="75"/>
      <c r="DB142" s="75">
        <f t="shared" si="226"/>
        <v>0</v>
      </c>
      <c r="DC142" s="75">
        <f t="shared" si="227"/>
        <v>0</v>
      </c>
      <c r="DD142" s="75">
        <f t="shared" si="228"/>
        <v>0</v>
      </c>
      <c r="DE142" s="75">
        <f t="shared" si="229"/>
        <v>0</v>
      </c>
      <c r="DF142" s="75"/>
      <c r="DG142" s="75">
        <f t="shared" si="230"/>
        <v>0</v>
      </c>
      <c r="DH142" s="75">
        <f t="shared" si="231"/>
        <v>0</v>
      </c>
      <c r="DI142" s="75"/>
      <c r="DJ142" s="75">
        <f t="shared" si="232"/>
        <v>0</v>
      </c>
      <c r="DK142" s="75">
        <f t="shared" si="233"/>
        <v>0</v>
      </c>
      <c r="DL142" s="75">
        <f t="shared" si="234"/>
        <v>0</v>
      </c>
      <c r="DM142" s="75">
        <f t="shared" si="235"/>
        <v>0</v>
      </c>
      <c r="DN142" s="75">
        <f t="shared" si="236"/>
        <v>0</v>
      </c>
      <c r="DO142" s="75">
        <f t="shared" si="237"/>
        <v>0</v>
      </c>
      <c r="DP142" s="75">
        <f t="shared" si="238"/>
        <v>0</v>
      </c>
      <c r="DQ142" s="75"/>
      <c r="DR142" s="75">
        <f t="shared" si="239"/>
        <v>64238600</v>
      </c>
    </row>
    <row r="143" spans="1:123" ht="24" customHeight="1" x14ac:dyDescent="0.25">
      <c r="A143" s="246"/>
      <c r="B143" s="85"/>
      <c r="C143" s="86" t="s">
        <v>117</v>
      </c>
      <c r="D143" s="81" t="s">
        <v>116</v>
      </c>
      <c r="E143" s="80">
        <v>111</v>
      </c>
      <c r="F143" s="78" t="s">
        <v>12</v>
      </c>
      <c r="G143" s="228"/>
      <c r="H143" s="79">
        <f t="shared" si="203"/>
        <v>0</v>
      </c>
      <c r="I143" s="79">
        <f t="shared" si="204"/>
        <v>0</v>
      </c>
      <c r="J143" s="78"/>
      <c r="K143" s="78"/>
      <c r="L143" s="78"/>
      <c r="M143" s="75">
        <f t="shared" si="205"/>
        <v>0</v>
      </c>
      <c r="N143" s="75"/>
      <c r="O143" s="75"/>
      <c r="P143" s="75"/>
      <c r="Q143" s="75">
        <f>400000000-400000000</f>
        <v>0</v>
      </c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89"/>
      <c r="AI143" s="25" t="e">
        <f t="shared" si="241"/>
        <v>#DIV/0!</v>
      </c>
      <c r="AJ143" s="75">
        <f t="shared" si="206"/>
        <v>0</v>
      </c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25" t="e">
        <f t="shared" si="242"/>
        <v>#DIV/0!</v>
      </c>
      <c r="BF143" s="75">
        <f t="shared" si="207"/>
        <v>0</v>
      </c>
      <c r="BG143" s="75"/>
      <c r="BH143" s="75"/>
      <c r="BI143" s="75"/>
      <c r="BJ143" s="75">
        <f t="shared" ref="BJ143:BJ186" si="245">Q143-AN143</f>
        <v>0</v>
      </c>
      <c r="BK143" s="75"/>
      <c r="BL143" s="75"/>
      <c r="BM143" s="75"/>
      <c r="BN143" s="75"/>
      <c r="BO143" s="75"/>
      <c r="BP143" s="75"/>
      <c r="BQ143" s="75"/>
      <c r="BR143" s="75"/>
      <c r="BS143" s="75"/>
      <c r="BT143" s="75"/>
      <c r="BU143" s="75"/>
      <c r="BV143" s="75"/>
      <c r="BW143" s="75"/>
      <c r="BX143" s="75"/>
      <c r="BY143" s="75"/>
      <c r="BZ143" s="75"/>
      <c r="CA143" s="25" t="e">
        <f t="shared" si="243"/>
        <v>#DIV/0!</v>
      </c>
      <c r="CB143" s="75">
        <f t="shared" si="224"/>
        <v>0</v>
      </c>
      <c r="CC143" s="75"/>
      <c r="CD143" s="75"/>
      <c r="CE143" s="75"/>
      <c r="CF143" s="75"/>
      <c r="CG143" s="75"/>
      <c r="CH143" s="75"/>
      <c r="CI143" s="75"/>
      <c r="CJ143" s="75"/>
      <c r="CK143" s="75"/>
      <c r="CL143" s="75"/>
      <c r="CM143" s="75"/>
      <c r="CN143" s="75"/>
      <c r="CO143" s="75"/>
      <c r="CP143" s="75"/>
      <c r="CQ143" s="75"/>
      <c r="CR143" s="75"/>
      <c r="CS143" s="75"/>
      <c r="CT143" s="75"/>
      <c r="CU143" s="75"/>
      <c r="CV143" s="75"/>
      <c r="CW143" s="25" t="e">
        <f t="shared" si="244"/>
        <v>#DIV/0!</v>
      </c>
      <c r="CX143" s="75">
        <f t="shared" si="225"/>
        <v>0</v>
      </c>
      <c r="CY143" s="75"/>
      <c r="CZ143" s="75"/>
      <c r="DA143" s="75"/>
      <c r="DB143" s="75">
        <f t="shared" ref="DB143:DB186" si="246">Q143-CF143</f>
        <v>0</v>
      </c>
      <c r="DC143" s="75"/>
      <c r="DD143" s="75"/>
      <c r="DE143" s="75"/>
      <c r="DF143" s="75"/>
      <c r="DG143" s="75"/>
      <c r="DH143" s="75"/>
      <c r="DI143" s="75"/>
      <c r="DJ143" s="75"/>
      <c r="DK143" s="75"/>
      <c r="DL143" s="75"/>
      <c r="DM143" s="75"/>
      <c r="DN143" s="75"/>
      <c r="DO143" s="75"/>
      <c r="DP143" s="75"/>
      <c r="DQ143" s="75"/>
      <c r="DR143" s="75"/>
    </row>
    <row r="144" spans="1:123" ht="64.5" customHeight="1" x14ac:dyDescent="0.25">
      <c r="A144" s="246"/>
      <c r="B144" s="85" t="s">
        <v>115</v>
      </c>
      <c r="C144" s="86" t="s">
        <v>114</v>
      </c>
      <c r="D144" s="81" t="s">
        <v>113</v>
      </c>
      <c r="E144" s="80">
        <v>211</v>
      </c>
      <c r="F144" s="78" t="s">
        <v>12</v>
      </c>
      <c r="G144" s="228"/>
      <c r="H144" s="79">
        <f t="shared" si="203"/>
        <v>189556618</v>
      </c>
      <c r="I144" s="79">
        <f t="shared" si="204"/>
        <v>0</v>
      </c>
      <c r="J144" s="78"/>
      <c r="K144" s="78"/>
      <c r="L144" s="78"/>
      <c r="M144" s="75">
        <f t="shared" si="205"/>
        <v>189556618</v>
      </c>
      <c r="N144" s="75"/>
      <c r="O144" s="75"/>
      <c r="P144" s="75"/>
      <c r="Q144" s="75">
        <f>500000000-100000000-210443382</f>
        <v>189556618</v>
      </c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I144" s="25">
        <f t="shared" si="241"/>
        <v>1</v>
      </c>
      <c r="AJ144" s="75">
        <f t="shared" si="206"/>
        <v>189556618</v>
      </c>
      <c r="AK144" s="75"/>
      <c r="AL144" s="75"/>
      <c r="AM144" s="75"/>
      <c r="AN144" s="75">
        <v>189556618</v>
      </c>
      <c r="AO144" s="75"/>
      <c r="AP144" s="75"/>
      <c r="AQ144" s="75"/>
      <c r="AR144" s="75"/>
      <c r="AS144" s="75"/>
      <c r="AT144" s="75"/>
      <c r="AU144" s="75"/>
      <c r="AV144" s="75"/>
      <c r="AW144" s="75"/>
      <c r="AX144" s="75"/>
      <c r="AY144" s="75"/>
      <c r="AZ144" s="75"/>
      <c r="BA144" s="75"/>
      <c r="BB144" s="75"/>
      <c r="BC144" s="75"/>
      <c r="BD144" s="75"/>
      <c r="BE144" s="25">
        <f t="shared" si="242"/>
        <v>0</v>
      </c>
      <c r="BF144" s="75">
        <f t="shared" si="207"/>
        <v>0</v>
      </c>
      <c r="BG144" s="75">
        <f t="shared" ref="BG144:BG165" si="247">+N144-AK144</f>
        <v>0</v>
      </c>
      <c r="BH144" s="75">
        <f t="shared" ref="BH144:BH165" si="248">O144-AL144</f>
        <v>0</v>
      </c>
      <c r="BI144" s="75"/>
      <c r="BJ144" s="75">
        <f t="shared" si="245"/>
        <v>0</v>
      </c>
      <c r="BK144" s="75">
        <f t="shared" ref="BK144:BK165" si="249">R144-AO144</f>
        <v>0</v>
      </c>
      <c r="BL144" s="75">
        <f t="shared" ref="BL144:BL165" si="250">+S144-AP144</f>
        <v>0</v>
      </c>
      <c r="BM144" s="75">
        <f t="shared" ref="BM144:BM165" si="251">+T144-AQ144</f>
        <v>0</v>
      </c>
      <c r="BN144" s="75"/>
      <c r="BO144" s="75">
        <f t="shared" ref="BO144:BO165" si="252">+V144-AS144</f>
        <v>0</v>
      </c>
      <c r="BP144" s="75">
        <f t="shared" ref="BP144:BP165" si="253">+W144-AT144</f>
        <v>0</v>
      </c>
      <c r="BQ144" s="75">
        <f t="shared" ref="BQ144:BQ165" si="254">+X144-AU144</f>
        <v>0</v>
      </c>
      <c r="BR144" s="75">
        <f t="shared" ref="BR144:BR165" si="255">+Y144-AV144</f>
        <v>0</v>
      </c>
      <c r="BS144" s="75">
        <f t="shared" ref="BS144:BS165" si="256">+Z144-AW144</f>
        <v>0</v>
      </c>
      <c r="BT144" s="75">
        <f t="shared" ref="BT144:BT165" si="257">+AA144-AX144</f>
        <v>0</v>
      </c>
      <c r="BU144" s="75">
        <f t="shared" ref="BU144:BU165" si="258">+AB144-AY144</f>
        <v>0</v>
      </c>
      <c r="BV144" s="75">
        <f t="shared" ref="BV144:BV165" si="259">+AC144-AZ144</f>
        <v>0</v>
      </c>
      <c r="BW144" s="75">
        <f t="shared" ref="BW144:BW165" si="260">+AD144-BA144</f>
        <v>0</v>
      </c>
      <c r="BX144" s="75"/>
      <c r="BY144" s="75">
        <f t="shared" ref="BY144:BY165" si="261">+AF144-BC144</f>
        <v>0</v>
      </c>
      <c r="BZ144" s="75">
        <f t="shared" ref="BZ144:BZ165" si="262">+AG144-BD144</f>
        <v>0</v>
      </c>
      <c r="CA144" s="25">
        <f t="shared" si="243"/>
        <v>1</v>
      </c>
      <c r="CB144" s="75">
        <f t="shared" si="224"/>
        <v>189556618</v>
      </c>
      <c r="CC144" s="75"/>
      <c r="CD144" s="75"/>
      <c r="CE144" s="75"/>
      <c r="CF144" s="75">
        <f>+'[6]JUNIO 2015'!$H$171</f>
        <v>189556618</v>
      </c>
      <c r="CG144" s="75"/>
      <c r="CH144" s="75"/>
      <c r="CI144" s="75"/>
      <c r="CJ144" s="75"/>
      <c r="CK144" s="75"/>
      <c r="CL144" s="75"/>
      <c r="CM144" s="75"/>
      <c r="CN144" s="75"/>
      <c r="CO144" s="75"/>
      <c r="CP144" s="75"/>
      <c r="CQ144" s="75"/>
      <c r="CR144" s="75"/>
      <c r="CS144" s="75"/>
      <c r="CT144" s="75"/>
      <c r="CU144" s="75"/>
      <c r="CV144" s="75"/>
      <c r="CW144" s="25">
        <f t="shared" si="244"/>
        <v>0</v>
      </c>
      <c r="CX144" s="75">
        <f t="shared" si="225"/>
        <v>0</v>
      </c>
      <c r="CY144" s="75"/>
      <c r="CZ144" s="75"/>
      <c r="DA144" s="75"/>
      <c r="DB144" s="75">
        <f t="shared" si="246"/>
        <v>0</v>
      </c>
      <c r="DC144" s="75">
        <f t="shared" ref="DC144:DC165" si="263">R144-CG144</f>
        <v>0</v>
      </c>
      <c r="DD144" s="75">
        <f t="shared" ref="DD144:DD165" si="264">S144-CH144</f>
        <v>0</v>
      </c>
      <c r="DE144" s="75">
        <f t="shared" ref="DE144:DE165" si="265">T144-CI144</f>
        <v>0</v>
      </c>
      <c r="DF144" s="75"/>
      <c r="DG144" s="75">
        <f t="shared" ref="DG144:DG165" si="266">+V144-CK144</f>
        <v>0</v>
      </c>
      <c r="DH144" s="75">
        <f t="shared" ref="DH144:DH165" si="267">+W144-CL144</f>
        <v>0</v>
      </c>
      <c r="DI144" s="75"/>
      <c r="DJ144" s="75">
        <f t="shared" ref="DJ144:DJ165" si="268">Y144-CN144</f>
        <v>0</v>
      </c>
      <c r="DK144" s="75">
        <f t="shared" ref="DK144:DK165" si="269">Z144-CO144</f>
        <v>0</v>
      </c>
      <c r="DL144" s="75">
        <f t="shared" ref="DL144:DL165" si="270">AA144-CP144</f>
        <v>0</v>
      </c>
      <c r="DM144" s="75">
        <f t="shared" ref="DM144:DM165" si="271">+AB144-CQ144</f>
        <v>0</v>
      </c>
      <c r="DN144" s="75">
        <f t="shared" ref="DN144:DN165" si="272">+AC144-CR144</f>
        <v>0</v>
      </c>
      <c r="DO144" s="75">
        <f t="shared" ref="DO144:DO165" si="273">+AD144-CS144</f>
        <v>0</v>
      </c>
      <c r="DP144" s="75">
        <f t="shared" ref="DP144:DP165" si="274">+AE144-CT144</f>
        <v>0</v>
      </c>
      <c r="DQ144" s="75"/>
      <c r="DR144" s="75">
        <f t="shared" ref="DR144:DR165" si="275">+AG144-CV144</f>
        <v>0</v>
      </c>
    </row>
    <row r="145" spans="1:122" ht="33" customHeight="1" x14ac:dyDescent="0.25">
      <c r="A145" s="246"/>
      <c r="B145" s="85"/>
      <c r="C145" s="86" t="s">
        <v>112</v>
      </c>
      <c r="D145" s="81" t="s">
        <v>111</v>
      </c>
      <c r="E145" s="80">
        <v>211</v>
      </c>
      <c r="F145" s="78" t="s">
        <v>12</v>
      </c>
      <c r="G145" s="228"/>
      <c r="H145" s="79">
        <f t="shared" si="203"/>
        <v>48956036</v>
      </c>
      <c r="I145" s="79">
        <f t="shared" si="204"/>
        <v>60887622</v>
      </c>
      <c r="J145" s="78"/>
      <c r="K145" s="78"/>
      <c r="L145" s="78"/>
      <c r="M145" s="75">
        <f t="shared" si="205"/>
        <v>109843658</v>
      </c>
      <c r="N145" s="75"/>
      <c r="O145" s="75"/>
      <c r="P145" s="75"/>
      <c r="Q145" s="75">
        <f>498457340+300000000-790156342</f>
        <v>8300998</v>
      </c>
      <c r="R145" s="75"/>
      <c r="S145" s="75"/>
      <c r="T145" s="75"/>
      <c r="U145" s="75"/>
      <c r="V145" s="75"/>
      <c r="W145" s="75"/>
      <c r="X145" s="75"/>
      <c r="Y145" s="75">
        <v>101542660</v>
      </c>
      <c r="Z145" s="75"/>
      <c r="AA145" s="75"/>
      <c r="AB145" s="75"/>
      <c r="AC145" s="75"/>
      <c r="AD145" s="75"/>
      <c r="AE145" s="75"/>
      <c r="AF145" s="75"/>
      <c r="AG145" s="75"/>
      <c r="AI145" s="25">
        <f t="shared" si="241"/>
        <v>0.4456883254925833</v>
      </c>
      <c r="AJ145" s="75">
        <f t="shared" si="206"/>
        <v>48956036</v>
      </c>
      <c r="AK145" s="75"/>
      <c r="AL145" s="75"/>
      <c r="AM145" s="75"/>
      <c r="AN145" s="75">
        <f>+'[6]JUNIO 2015'!$M$180</f>
        <v>8300998</v>
      </c>
      <c r="AO145" s="75"/>
      <c r="AP145" s="75"/>
      <c r="AQ145" s="75"/>
      <c r="AR145" s="75"/>
      <c r="AS145" s="75"/>
      <c r="AT145" s="75"/>
      <c r="AU145" s="75"/>
      <c r="AV145" s="75">
        <f>+'[6]JUNIO 2015'!$U$180</f>
        <v>40655038</v>
      </c>
      <c r="AW145" s="75"/>
      <c r="AX145" s="75"/>
      <c r="AY145" s="75"/>
      <c r="AZ145" s="75"/>
      <c r="BA145" s="75"/>
      <c r="BB145" s="75"/>
      <c r="BC145" s="75"/>
      <c r="BD145" s="75"/>
      <c r="BE145" s="25">
        <f t="shared" si="242"/>
        <v>0.5543116745074167</v>
      </c>
      <c r="BF145" s="75">
        <f t="shared" si="207"/>
        <v>60887622</v>
      </c>
      <c r="BG145" s="75">
        <f t="shared" si="247"/>
        <v>0</v>
      </c>
      <c r="BH145" s="75">
        <f t="shared" si="248"/>
        <v>0</v>
      </c>
      <c r="BI145" s="75"/>
      <c r="BJ145" s="75">
        <f t="shared" si="245"/>
        <v>0</v>
      </c>
      <c r="BK145" s="75">
        <f t="shared" si="249"/>
        <v>0</v>
      </c>
      <c r="BL145" s="75">
        <f t="shared" si="250"/>
        <v>0</v>
      </c>
      <c r="BM145" s="75">
        <f t="shared" si="251"/>
        <v>0</v>
      </c>
      <c r="BN145" s="75"/>
      <c r="BO145" s="75">
        <f t="shared" si="252"/>
        <v>0</v>
      </c>
      <c r="BP145" s="75">
        <f t="shared" si="253"/>
        <v>0</v>
      </c>
      <c r="BQ145" s="75">
        <f t="shared" si="254"/>
        <v>0</v>
      </c>
      <c r="BR145" s="75">
        <f t="shared" si="255"/>
        <v>60887622</v>
      </c>
      <c r="BS145" s="75">
        <f t="shared" si="256"/>
        <v>0</v>
      </c>
      <c r="BT145" s="75">
        <f t="shared" si="257"/>
        <v>0</v>
      </c>
      <c r="BU145" s="75">
        <f t="shared" si="258"/>
        <v>0</v>
      </c>
      <c r="BV145" s="75">
        <f t="shared" si="259"/>
        <v>0</v>
      </c>
      <c r="BW145" s="75">
        <f t="shared" si="260"/>
        <v>0</v>
      </c>
      <c r="BX145" s="75"/>
      <c r="BY145" s="75">
        <f t="shared" si="261"/>
        <v>0</v>
      </c>
      <c r="BZ145" s="75">
        <f t="shared" si="262"/>
        <v>0</v>
      </c>
      <c r="CA145" s="25">
        <f t="shared" si="243"/>
        <v>0.4456883254925833</v>
      </c>
      <c r="CB145" s="75">
        <f t="shared" si="224"/>
        <v>48956036</v>
      </c>
      <c r="CC145" s="75"/>
      <c r="CD145" s="75"/>
      <c r="CE145" s="75"/>
      <c r="CF145" s="75">
        <f>+'[3]ABRIL 2015'!$H$166</f>
        <v>8300998</v>
      </c>
      <c r="CG145" s="75"/>
      <c r="CH145" s="75"/>
      <c r="CI145" s="75"/>
      <c r="CJ145" s="75"/>
      <c r="CK145" s="75"/>
      <c r="CL145" s="75"/>
      <c r="CM145" s="75"/>
      <c r="CN145" s="75">
        <f>8301038+32354000</f>
        <v>40655038</v>
      </c>
      <c r="CO145" s="75"/>
      <c r="CP145" s="75"/>
      <c r="CQ145" s="75"/>
      <c r="CR145" s="75"/>
      <c r="CS145" s="75"/>
      <c r="CT145" s="75"/>
      <c r="CU145" s="75"/>
      <c r="CV145" s="75"/>
      <c r="CW145" s="25">
        <f t="shared" si="244"/>
        <v>0.5543116745074167</v>
      </c>
      <c r="CX145" s="75">
        <f t="shared" si="225"/>
        <v>60887622</v>
      </c>
      <c r="CY145" s="75"/>
      <c r="CZ145" s="75"/>
      <c r="DA145" s="75"/>
      <c r="DB145" s="75">
        <f t="shared" si="246"/>
        <v>0</v>
      </c>
      <c r="DC145" s="75">
        <f t="shared" si="263"/>
        <v>0</v>
      </c>
      <c r="DD145" s="75">
        <f t="shared" si="264"/>
        <v>0</v>
      </c>
      <c r="DE145" s="75">
        <f t="shared" si="265"/>
        <v>0</v>
      </c>
      <c r="DF145" s="75"/>
      <c r="DG145" s="75">
        <f t="shared" si="266"/>
        <v>0</v>
      </c>
      <c r="DH145" s="75">
        <f t="shared" si="267"/>
        <v>0</v>
      </c>
      <c r="DI145" s="75"/>
      <c r="DJ145" s="75">
        <f t="shared" si="268"/>
        <v>60887622</v>
      </c>
      <c r="DK145" s="75">
        <f t="shared" si="269"/>
        <v>0</v>
      </c>
      <c r="DL145" s="75">
        <f t="shared" si="270"/>
        <v>0</v>
      </c>
      <c r="DM145" s="75">
        <f t="shared" si="271"/>
        <v>0</v>
      </c>
      <c r="DN145" s="75">
        <f t="shared" si="272"/>
        <v>0</v>
      </c>
      <c r="DO145" s="75">
        <f t="shared" si="273"/>
        <v>0</v>
      </c>
      <c r="DP145" s="75">
        <f t="shared" si="274"/>
        <v>0</v>
      </c>
      <c r="DQ145" s="75"/>
      <c r="DR145" s="75">
        <f t="shared" si="275"/>
        <v>0</v>
      </c>
    </row>
    <row r="146" spans="1:122" ht="33" customHeight="1" x14ac:dyDescent="0.25">
      <c r="A146" s="246"/>
      <c r="B146" s="85"/>
      <c r="C146" s="86" t="s">
        <v>110</v>
      </c>
      <c r="D146" s="81" t="s">
        <v>109</v>
      </c>
      <c r="E146" s="80">
        <v>211</v>
      </c>
      <c r="F146" s="78" t="s">
        <v>12</v>
      </c>
      <c r="G146" s="228"/>
      <c r="H146" s="79">
        <f t="shared" si="203"/>
        <v>0</v>
      </c>
      <c r="I146" s="79">
        <f t="shared" si="204"/>
        <v>0</v>
      </c>
      <c r="J146" s="78"/>
      <c r="K146" s="78"/>
      <c r="L146" s="78"/>
      <c r="M146" s="75">
        <f t="shared" si="205"/>
        <v>0</v>
      </c>
      <c r="N146" s="45"/>
      <c r="O146" s="45"/>
      <c r="P146" s="45"/>
      <c r="Q146" s="75">
        <f>600000000-600000000</f>
        <v>0</v>
      </c>
      <c r="R146" s="45"/>
      <c r="S146" s="45"/>
      <c r="T146" s="75"/>
      <c r="U146" s="75"/>
      <c r="V146" s="75"/>
      <c r="W146" s="75"/>
      <c r="X146" s="75"/>
      <c r="Y146" s="75"/>
      <c r="Z146" s="75"/>
      <c r="AA146" s="24"/>
      <c r="AB146" s="24"/>
      <c r="AC146" s="24"/>
      <c r="AD146" s="24"/>
      <c r="AE146" s="24"/>
      <c r="AF146" s="24"/>
      <c r="AG146" s="75"/>
      <c r="AI146" s="25" t="e">
        <f t="shared" si="241"/>
        <v>#DIV/0!</v>
      </c>
      <c r="AJ146" s="75">
        <f t="shared" si="206"/>
        <v>0</v>
      </c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  <c r="AX146" s="75"/>
      <c r="AY146" s="75"/>
      <c r="AZ146" s="75"/>
      <c r="BA146" s="75"/>
      <c r="BB146" s="75"/>
      <c r="BC146" s="75"/>
      <c r="BD146" s="75"/>
      <c r="BE146" s="25" t="e">
        <f t="shared" si="242"/>
        <v>#DIV/0!</v>
      </c>
      <c r="BF146" s="75">
        <f t="shared" si="207"/>
        <v>0</v>
      </c>
      <c r="BG146" s="75">
        <f t="shared" si="247"/>
        <v>0</v>
      </c>
      <c r="BH146" s="75">
        <f t="shared" si="248"/>
        <v>0</v>
      </c>
      <c r="BI146" s="75"/>
      <c r="BJ146" s="75">
        <f t="shared" si="245"/>
        <v>0</v>
      </c>
      <c r="BK146" s="75">
        <f t="shared" si="249"/>
        <v>0</v>
      </c>
      <c r="BL146" s="75">
        <f t="shared" si="250"/>
        <v>0</v>
      </c>
      <c r="BM146" s="75">
        <f t="shared" si="251"/>
        <v>0</v>
      </c>
      <c r="BN146" s="75"/>
      <c r="BO146" s="75">
        <f t="shared" si="252"/>
        <v>0</v>
      </c>
      <c r="BP146" s="75">
        <f t="shared" si="253"/>
        <v>0</v>
      </c>
      <c r="BQ146" s="75">
        <f t="shared" si="254"/>
        <v>0</v>
      </c>
      <c r="BR146" s="75">
        <f t="shared" si="255"/>
        <v>0</v>
      </c>
      <c r="BS146" s="75">
        <f t="shared" si="256"/>
        <v>0</v>
      </c>
      <c r="BT146" s="75">
        <f t="shared" si="257"/>
        <v>0</v>
      </c>
      <c r="BU146" s="75">
        <f t="shared" si="258"/>
        <v>0</v>
      </c>
      <c r="BV146" s="75">
        <f t="shared" si="259"/>
        <v>0</v>
      </c>
      <c r="BW146" s="75">
        <f t="shared" si="260"/>
        <v>0</v>
      </c>
      <c r="BX146" s="75"/>
      <c r="BY146" s="75">
        <f t="shared" si="261"/>
        <v>0</v>
      </c>
      <c r="BZ146" s="75">
        <f t="shared" si="262"/>
        <v>0</v>
      </c>
      <c r="CA146" s="25" t="e">
        <f t="shared" si="243"/>
        <v>#DIV/0!</v>
      </c>
      <c r="CB146" s="75">
        <f t="shared" si="224"/>
        <v>0</v>
      </c>
      <c r="CC146" s="75"/>
      <c r="CD146" s="75"/>
      <c r="CE146" s="75"/>
      <c r="CF146" s="75"/>
      <c r="CG146" s="75"/>
      <c r="CH146" s="75"/>
      <c r="CI146" s="75"/>
      <c r="CJ146" s="75"/>
      <c r="CK146" s="75"/>
      <c r="CL146" s="75"/>
      <c r="CM146" s="75"/>
      <c r="CN146" s="75"/>
      <c r="CO146" s="75"/>
      <c r="CP146" s="75"/>
      <c r="CQ146" s="75"/>
      <c r="CR146" s="75"/>
      <c r="CS146" s="75"/>
      <c r="CT146" s="75"/>
      <c r="CU146" s="75"/>
      <c r="CV146" s="75"/>
      <c r="CW146" s="25" t="e">
        <f t="shared" si="244"/>
        <v>#DIV/0!</v>
      </c>
      <c r="CX146" s="75">
        <f t="shared" si="225"/>
        <v>0</v>
      </c>
      <c r="CY146" s="75"/>
      <c r="CZ146" s="75"/>
      <c r="DA146" s="75"/>
      <c r="DB146" s="75">
        <f t="shared" si="246"/>
        <v>0</v>
      </c>
      <c r="DC146" s="75">
        <f t="shared" si="263"/>
        <v>0</v>
      </c>
      <c r="DD146" s="75">
        <f t="shared" si="264"/>
        <v>0</v>
      </c>
      <c r="DE146" s="75">
        <f t="shared" si="265"/>
        <v>0</v>
      </c>
      <c r="DF146" s="75"/>
      <c r="DG146" s="75">
        <f t="shared" si="266"/>
        <v>0</v>
      </c>
      <c r="DH146" s="75">
        <f t="shared" si="267"/>
        <v>0</v>
      </c>
      <c r="DI146" s="75"/>
      <c r="DJ146" s="75">
        <f t="shared" si="268"/>
        <v>0</v>
      </c>
      <c r="DK146" s="75">
        <f t="shared" si="269"/>
        <v>0</v>
      </c>
      <c r="DL146" s="75">
        <f t="shared" si="270"/>
        <v>0</v>
      </c>
      <c r="DM146" s="75">
        <f t="shared" si="271"/>
        <v>0</v>
      </c>
      <c r="DN146" s="75">
        <f t="shared" si="272"/>
        <v>0</v>
      </c>
      <c r="DO146" s="75">
        <f t="shared" si="273"/>
        <v>0</v>
      </c>
      <c r="DP146" s="75">
        <f t="shared" si="274"/>
        <v>0</v>
      </c>
      <c r="DQ146" s="75">
        <f t="shared" ref="DQ146:DQ165" si="276">+AF146-CU146</f>
        <v>0</v>
      </c>
      <c r="DR146" s="75">
        <f t="shared" si="275"/>
        <v>0</v>
      </c>
    </row>
    <row r="147" spans="1:122" ht="35.25" customHeight="1" x14ac:dyDescent="0.25">
      <c r="A147" s="246"/>
      <c r="B147" s="85"/>
      <c r="C147" s="86" t="s">
        <v>108</v>
      </c>
      <c r="D147" s="81" t="s">
        <v>107</v>
      </c>
      <c r="E147" s="80">
        <v>211</v>
      </c>
      <c r="F147" s="78" t="s">
        <v>12</v>
      </c>
      <c r="G147" s="228"/>
      <c r="H147" s="79">
        <f t="shared" si="203"/>
        <v>372698968</v>
      </c>
      <c r="I147" s="79">
        <f t="shared" si="204"/>
        <v>2518133</v>
      </c>
      <c r="J147" s="78"/>
      <c r="K147" s="78"/>
      <c r="L147" s="78"/>
      <c r="M147" s="75">
        <f t="shared" si="205"/>
        <v>375217101</v>
      </c>
      <c r="N147" s="45"/>
      <c r="O147" s="45"/>
      <c r="P147" s="45"/>
      <c r="Q147" s="75">
        <f>1007000000-631782899</f>
        <v>375217101</v>
      </c>
      <c r="R147" s="45"/>
      <c r="S147" s="45"/>
      <c r="T147" s="75"/>
      <c r="U147" s="75"/>
      <c r="V147" s="75"/>
      <c r="W147" s="75"/>
      <c r="X147" s="75"/>
      <c r="Y147" s="75"/>
      <c r="Z147" s="75"/>
      <c r="AA147" s="24"/>
      <c r="AB147" s="24"/>
      <c r="AC147" s="24"/>
      <c r="AD147" s="24"/>
      <c r="AE147" s="24"/>
      <c r="AF147" s="24"/>
      <c r="AG147" s="75"/>
      <c r="AI147" s="25">
        <f t="shared" si="241"/>
        <v>0.99328886398490668</v>
      </c>
      <c r="AJ147" s="75">
        <f t="shared" si="206"/>
        <v>372698968</v>
      </c>
      <c r="AK147" s="75"/>
      <c r="AL147" s="75"/>
      <c r="AM147" s="75"/>
      <c r="AN147" s="75">
        <f>+'[2]JULIO 2015'!$M$208</f>
        <v>372698968</v>
      </c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25">
        <f t="shared" si="242"/>
        <v>6.7111360150933219E-3</v>
      </c>
      <c r="BF147" s="75">
        <f t="shared" si="207"/>
        <v>2518133</v>
      </c>
      <c r="BG147" s="75">
        <f t="shared" si="247"/>
        <v>0</v>
      </c>
      <c r="BH147" s="75">
        <f t="shared" si="248"/>
        <v>0</v>
      </c>
      <c r="BI147" s="75"/>
      <c r="BJ147" s="75">
        <f t="shared" si="245"/>
        <v>2518133</v>
      </c>
      <c r="BK147" s="75">
        <f t="shared" si="249"/>
        <v>0</v>
      </c>
      <c r="BL147" s="75">
        <f t="shared" si="250"/>
        <v>0</v>
      </c>
      <c r="BM147" s="75">
        <f t="shared" si="251"/>
        <v>0</v>
      </c>
      <c r="BN147" s="75"/>
      <c r="BO147" s="75">
        <f t="shared" si="252"/>
        <v>0</v>
      </c>
      <c r="BP147" s="75">
        <f t="shared" si="253"/>
        <v>0</v>
      </c>
      <c r="BQ147" s="75">
        <f t="shared" si="254"/>
        <v>0</v>
      </c>
      <c r="BR147" s="75">
        <f t="shared" si="255"/>
        <v>0</v>
      </c>
      <c r="BS147" s="75">
        <f t="shared" si="256"/>
        <v>0</v>
      </c>
      <c r="BT147" s="75">
        <f t="shared" si="257"/>
        <v>0</v>
      </c>
      <c r="BU147" s="75">
        <f t="shared" si="258"/>
        <v>0</v>
      </c>
      <c r="BV147" s="75">
        <f t="shared" si="259"/>
        <v>0</v>
      </c>
      <c r="BW147" s="75">
        <f t="shared" si="260"/>
        <v>0</v>
      </c>
      <c r="BX147" s="75"/>
      <c r="BY147" s="75">
        <f t="shared" si="261"/>
        <v>0</v>
      </c>
      <c r="BZ147" s="75">
        <f t="shared" si="262"/>
        <v>0</v>
      </c>
      <c r="CA147" s="25">
        <f t="shared" si="243"/>
        <v>0.99328886398490668</v>
      </c>
      <c r="CB147" s="75">
        <f t="shared" si="224"/>
        <v>372698968</v>
      </c>
      <c r="CC147" s="75"/>
      <c r="CD147" s="75"/>
      <c r="CE147" s="75"/>
      <c r="CF147" s="75">
        <f>+'[1]AGOSTO 2015'!$H$214</f>
        <v>372698968</v>
      </c>
      <c r="CG147" s="75"/>
      <c r="CH147" s="75"/>
      <c r="CI147" s="75"/>
      <c r="CJ147" s="75"/>
      <c r="CK147" s="75"/>
      <c r="CL147" s="75"/>
      <c r="CM147" s="75"/>
      <c r="CN147" s="75"/>
      <c r="CO147" s="75"/>
      <c r="CP147" s="75"/>
      <c r="CQ147" s="75"/>
      <c r="CR147" s="75"/>
      <c r="CS147" s="75"/>
      <c r="CT147" s="75"/>
      <c r="CU147" s="75"/>
      <c r="CV147" s="75"/>
      <c r="CW147" s="25">
        <f t="shared" si="244"/>
        <v>6.7111360150933219E-3</v>
      </c>
      <c r="CX147" s="75">
        <f t="shared" si="225"/>
        <v>2518133</v>
      </c>
      <c r="CY147" s="75"/>
      <c r="CZ147" s="75"/>
      <c r="DA147" s="75"/>
      <c r="DB147" s="75">
        <f t="shared" si="246"/>
        <v>2518133</v>
      </c>
      <c r="DC147" s="75">
        <f t="shared" si="263"/>
        <v>0</v>
      </c>
      <c r="DD147" s="75">
        <f t="shared" si="264"/>
        <v>0</v>
      </c>
      <c r="DE147" s="75">
        <f t="shared" si="265"/>
        <v>0</v>
      </c>
      <c r="DF147" s="75"/>
      <c r="DG147" s="75">
        <f t="shared" si="266"/>
        <v>0</v>
      </c>
      <c r="DH147" s="75">
        <f t="shared" si="267"/>
        <v>0</v>
      </c>
      <c r="DI147" s="75"/>
      <c r="DJ147" s="75">
        <f t="shared" si="268"/>
        <v>0</v>
      </c>
      <c r="DK147" s="75">
        <f t="shared" si="269"/>
        <v>0</v>
      </c>
      <c r="DL147" s="75">
        <f t="shared" si="270"/>
        <v>0</v>
      </c>
      <c r="DM147" s="75">
        <f t="shared" si="271"/>
        <v>0</v>
      </c>
      <c r="DN147" s="75">
        <f t="shared" si="272"/>
        <v>0</v>
      </c>
      <c r="DO147" s="75">
        <f t="shared" si="273"/>
        <v>0</v>
      </c>
      <c r="DP147" s="75">
        <f t="shared" si="274"/>
        <v>0</v>
      </c>
      <c r="DQ147" s="75">
        <f t="shared" si="276"/>
        <v>0</v>
      </c>
      <c r="DR147" s="75">
        <f t="shared" si="275"/>
        <v>0</v>
      </c>
    </row>
    <row r="148" spans="1:122" ht="49.5" customHeight="1" x14ac:dyDescent="0.25">
      <c r="A148" s="246"/>
      <c r="B148" s="85"/>
      <c r="C148" s="86" t="s">
        <v>106</v>
      </c>
      <c r="D148" s="81" t="s">
        <v>105</v>
      </c>
      <c r="E148" s="80">
        <v>211</v>
      </c>
      <c r="F148" s="78" t="s">
        <v>12</v>
      </c>
      <c r="G148" s="228"/>
      <c r="H148" s="79">
        <f t="shared" si="203"/>
        <v>244800000</v>
      </c>
      <c r="I148" s="79">
        <f t="shared" si="204"/>
        <v>0</v>
      </c>
      <c r="J148" s="78"/>
      <c r="K148" s="78"/>
      <c r="L148" s="78"/>
      <c r="M148" s="75">
        <f t="shared" si="205"/>
        <v>244800000</v>
      </c>
      <c r="N148" s="45"/>
      <c r="O148" s="45"/>
      <c r="P148" s="45"/>
      <c r="Q148" s="75">
        <f>2000000000-1755200000</f>
        <v>244800000</v>
      </c>
      <c r="R148" s="45"/>
      <c r="S148" s="45"/>
      <c r="T148" s="75"/>
      <c r="U148" s="75"/>
      <c r="V148" s="75"/>
      <c r="W148" s="75"/>
      <c r="X148" s="75"/>
      <c r="Y148" s="75"/>
      <c r="Z148" s="75"/>
      <c r="AA148" s="24"/>
      <c r="AB148" s="24"/>
      <c r="AC148" s="24"/>
      <c r="AD148" s="24"/>
      <c r="AE148" s="24"/>
      <c r="AF148" s="24"/>
      <c r="AG148" s="75"/>
      <c r="AI148" s="25">
        <f t="shared" si="241"/>
        <v>1</v>
      </c>
      <c r="AJ148" s="75">
        <f t="shared" si="206"/>
        <v>244800000</v>
      </c>
      <c r="AK148" s="75"/>
      <c r="AL148" s="75"/>
      <c r="AM148" s="75"/>
      <c r="AN148" s="75">
        <f>+'[3]ABRIL 2015'!$G$182</f>
        <v>244800000</v>
      </c>
      <c r="AO148" s="75"/>
      <c r="AP148" s="75"/>
      <c r="AQ148" s="75"/>
      <c r="AR148" s="75"/>
      <c r="AS148" s="75"/>
      <c r="AT148" s="75"/>
      <c r="AU148" s="75"/>
      <c r="AV148" s="75"/>
      <c r="AW148" s="75"/>
      <c r="AX148" s="75"/>
      <c r="AY148" s="75"/>
      <c r="AZ148" s="75"/>
      <c r="BA148" s="75"/>
      <c r="BB148" s="75"/>
      <c r="BC148" s="75"/>
      <c r="BD148" s="75"/>
      <c r="BE148" s="25">
        <f t="shared" si="242"/>
        <v>0</v>
      </c>
      <c r="BF148" s="75">
        <f t="shared" si="207"/>
        <v>0</v>
      </c>
      <c r="BG148" s="75">
        <f t="shared" si="247"/>
        <v>0</v>
      </c>
      <c r="BH148" s="75">
        <f t="shared" si="248"/>
        <v>0</v>
      </c>
      <c r="BI148" s="75"/>
      <c r="BJ148" s="75">
        <f t="shared" si="245"/>
        <v>0</v>
      </c>
      <c r="BK148" s="75">
        <f t="shared" si="249"/>
        <v>0</v>
      </c>
      <c r="BL148" s="75">
        <f t="shared" si="250"/>
        <v>0</v>
      </c>
      <c r="BM148" s="75">
        <f t="shared" si="251"/>
        <v>0</v>
      </c>
      <c r="BN148" s="75"/>
      <c r="BO148" s="75">
        <f t="shared" si="252"/>
        <v>0</v>
      </c>
      <c r="BP148" s="75">
        <f t="shared" si="253"/>
        <v>0</v>
      </c>
      <c r="BQ148" s="75">
        <f t="shared" si="254"/>
        <v>0</v>
      </c>
      <c r="BR148" s="75">
        <f t="shared" si="255"/>
        <v>0</v>
      </c>
      <c r="BS148" s="75">
        <f t="shared" si="256"/>
        <v>0</v>
      </c>
      <c r="BT148" s="75">
        <f t="shared" si="257"/>
        <v>0</v>
      </c>
      <c r="BU148" s="75">
        <f t="shared" si="258"/>
        <v>0</v>
      </c>
      <c r="BV148" s="75">
        <f t="shared" si="259"/>
        <v>0</v>
      </c>
      <c r="BW148" s="75">
        <f t="shared" si="260"/>
        <v>0</v>
      </c>
      <c r="BX148" s="75"/>
      <c r="BY148" s="75">
        <f t="shared" si="261"/>
        <v>0</v>
      </c>
      <c r="BZ148" s="75">
        <f t="shared" si="262"/>
        <v>0</v>
      </c>
      <c r="CA148" s="25">
        <f t="shared" si="243"/>
        <v>1</v>
      </c>
      <c r="CB148" s="75">
        <f t="shared" si="224"/>
        <v>244800000</v>
      </c>
      <c r="CC148" s="75"/>
      <c r="CD148" s="75"/>
      <c r="CE148" s="75"/>
      <c r="CF148" s="75">
        <v>244800000</v>
      </c>
      <c r="CG148" s="75"/>
      <c r="CH148" s="75"/>
      <c r="CI148" s="75"/>
      <c r="CJ148" s="75"/>
      <c r="CK148" s="75"/>
      <c r="CL148" s="75"/>
      <c r="CM148" s="75"/>
      <c r="CN148" s="75"/>
      <c r="CO148" s="75"/>
      <c r="CP148" s="75"/>
      <c r="CQ148" s="75"/>
      <c r="CR148" s="75"/>
      <c r="CS148" s="75"/>
      <c r="CT148" s="75"/>
      <c r="CU148" s="75"/>
      <c r="CV148" s="75"/>
      <c r="CW148" s="25">
        <f t="shared" si="244"/>
        <v>0</v>
      </c>
      <c r="CX148" s="75">
        <f t="shared" si="225"/>
        <v>0</v>
      </c>
      <c r="CY148" s="75"/>
      <c r="CZ148" s="75"/>
      <c r="DA148" s="75"/>
      <c r="DB148" s="75">
        <f t="shared" si="246"/>
        <v>0</v>
      </c>
      <c r="DC148" s="75">
        <f t="shared" si="263"/>
        <v>0</v>
      </c>
      <c r="DD148" s="75">
        <f t="shared" si="264"/>
        <v>0</v>
      </c>
      <c r="DE148" s="75">
        <f t="shared" si="265"/>
        <v>0</v>
      </c>
      <c r="DF148" s="75"/>
      <c r="DG148" s="75">
        <f t="shared" si="266"/>
        <v>0</v>
      </c>
      <c r="DH148" s="75">
        <f t="shared" si="267"/>
        <v>0</v>
      </c>
      <c r="DI148" s="75"/>
      <c r="DJ148" s="75">
        <f t="shared" si="268"/>
        <v>0</v>
      </c>
      <c r="DK148" s="75">
        <f t="shared" si="269"/>
        <v>0</v>
      </c>
      <c r="DL148" s="75">
        <f t="shared" si="270"/>
        <v>0</v>
      </c>
      <c r="DM148" s="75">
        <f t="shared" si="271"/>
        <v>0</v>
      </c>
      <c r="DN148" s="75">
        <f t="shared" si="272"/>
        <v>0</v>
      </c>
      <c r="DO148" s="75">
        <f t="shared" si="273"/>
        <v>0</v>
      </c>
      <c r="DP148" s="75">
        <f t="shared" si="274"/>
        <v>0</v>
      </c>
      <c r="DQ148" s="75">
        <f t="shared" si="276"/>
        <v>0</v>
      </c>
      <c r="DR148" s="75">
        <f t="shared" si="275"/>
        <v>0</v>
      </c>
    </row>
    <row r="149" spans="1:122" ht="22.5" customHeight="1" x14ac:dyDescent="0.25">
      <c r="A149" s="246"/>
      <c r="B149" s="85"/>
      <c r="C149" s="86" t="s">
        <v>104</v>
      </c>
      <c r="D149" s="81" t="s">
        <v>103</v>
      </c>
      <c r="E149" s="80">
        <v>211</v>
      </c>
      <c r="F149" s="78" t="s">
        <v>12</v>
      </c>
      <c r="G149" s="228"/>
      <c r="H149" s="79">
        <f t="shared" si="203"/>
        <v>96000000</v>
      </c>
      <c r="I149" s="79">
        <f t="shared" si="204"/>
        <v>250985280</v>
      </c>
      <c r="J149" s="78"/>
      <c r="K149" s="78"/>
      <c r="L149" s="78"/>
      <c r="M149" s="75">
        <f t="shared" si="205"/>
        <v>346985280</v>
      </c>
      <c r="N149" s="45"/>
      <c r="O149" s="45"/>
      <c r="P149" s="45"/>
      <c r="Q149" s="75">
        <f>178840000+200000000-72884540+72884540-31854720</f>
        <v>346985280</v>
      </c>
      <c r="R149" s="75">
        <f>72884540-72884540</f>
        <v>0</v>
      </c>
      <c r="S149" s="45"/>
      <c r="T149" s="75"/>
      <c r="U149" s="75"/>
      <c r="V149" s="75"/>
      <c r="W149" s="75"/>
      <c r="X149" s="75"/>
      <c r="Y149" s="75"/>
      <c r="Z149" s="75"/>
      <c r="AA149" s="24"/>
      <c r="AB149" s="24"/>
      <c r="AC149" s="24"/>
      <c r="AD149" s="24"/>
      <c r="AE149" s="24"/>
      <c r="AF149" s="24"/>
      <c r="AG149" s="75"/>
      <c r="AI149" s="25">
        <f t="shared" si="241"/>
        <v>0.27666879701640368</v>
      </c>
      <c r="AJ149" s="75">
        <f t="shared" si="206"/>
        <v>96000000</v>
      </c>
      <c r="AK149" s="75"/>
      <c r="AL149" s="75"/>
      <c r="AM149" s="75"/>
      <c r="AN149" s="75">
        <f>+'[1]AGOSTO 2015'!$M$233</f>
        <v>96000000</v>
      </c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  <c r="AY149" s="75"/>
      <c r="AZ149" s="75"/>
      <c r="BA149" s="75"/>
      <c r="BB149" s="75"/>
      <c r="BC149" s="75"/>
      <c r="BD149" s="75"/>
      <c r="BE149" s="25">
        <f t="shared" si="242"/>
        <v>0.72333120298359632</v>
      </c>
      <c r="BF149" s="75">
        <f t="shared" si="207"/>
        <v>250985280</v>
      </c>
      <c r="BG149" s="75">
        <f t="shared" si="247"/>
        <v>0</v>
      </c>
      <c r="BH149" s="75">
        <f t="shared" si="248"/>
        <v>0</v>
      </c>
      <c r="BI149" s="75"/>
      <c r="BJ149" s="75">
        <f t="shared" si="245"/>
        <v>250985280</v>
      </c>
      <c r="BK149" s="75">
        <f t="shared" si="249"/>
        <v>0</v>
      </c>
      <c r="BL149" s="75">
        <f t="shared" si="250"/>
        <v>0</v>
      </c>
      <c r="BM149" s="75">
        <f t="shared" si="251"/>
        <v>0</v>
      </c>
      <c r="BN149" s="75"/>
      <c r="BO149" s="75">
        <f t="shared" si="252"/>
        <v>0</v>
      </c>
      <c r="BP149" s="75">
        <f t="shared" si="253"/>
        <v>0</v>
      </c>
      <c r="BQ149" s="75">
        <f t="shared" si="254"/>
        <v>0</v>
      </c>
      <c r="BR149" s="75">
        <f t="shared" si="255"/>
        <v>0</v>
      </c>
      <c r="BS149" s="75">
        <f t="shared" si="256"/>
        <v>0</v>
      </c>
      <c r="BT149" s="75">
        <f t="shared" si="257"/>
        <v>0</v>
      </c>
      <c r="BU149" s="75">
        <f t="shared" si="258"/>
        <v>0</v>
      </c>
      <c r="BV149" s="75">
        <f t="shared" si="259"/>
        <v>0</v>
      </c>
      <c r="BW149" s="75">
        <f t="shared" si="260"/>
        <v>0</v>
      </c>
      <c r="BX149" s="75"/>
      <c r="BY149" s="75">
        <f t="shared" si="261"/>
        <v>0</v>
      </c>
      <c r="BZ149" s="75">
        <f t="shared" si="262"/>
        <v>0</v>
      </c>
      <c r="CA149" s="25">
        <f t="shared" si="243"/>
        <v>0.27666879701640368</v>
      </c>
      <c r="CB149" s="75">
        <f t="shared" si="224"/>
        <v>96000000</v>
      </c>
      <c r="CC149" s="75"/>
      <c r="CD149" s="75"/>
      <c r="CE149" s="75"/>
      <c r="CF149" s="75">
        <f>+'[1]AGOSTO 2015'!$H$231</f>
        <v>96000000</v>
      </c>
      <c r="CG149" s="75"/>
      <c r="CH149" s="75"/>
      <c r="CI149" s="75"/>
      <c r="CJ149" s="75"/>
      <c r="CK149" s="75"/>
      <c r="CL149" s="75"/>
      <c r="CM149" s="75"/>
      <c r="CN149" s="75"/>
      <c r="CO149" s="75"/>
      <c r="CP149" s="75"/>
      <c r="CQ149" s="75"/>
      <c r="CR149" s="75"/>
      <c r="CS149" s="75"/>
      <c r="CT149" s="75"/>
      <c r="CU149" s="75"/>
      <c r="CV149" s="75"/>
      <c r="CW149" s="25">
        <f t="shared" si="244"/>
        <v>0.72333120298359632</v>
      </c>
      <c r="CX149" s="75">
        <f t="shared" si="225"/>
        <v>250985280</v>
      </c>
      <c r="CY149" s="75"/>
      <c r="CZ149" s="75"/>
      <c r="DA149" s="75"/>
      <c r="DB149" s="75">
        <f t="shared" si="246"/>
        <v>250985280</v>
      </c>
      <c r="DC149" s="75">
        <f t="shared" si="263"/>
        <v>0</v>
      </c>
      <c r="DD149" s="75">
        <f t="shared" si="264"/>
        <v>0</v>
      </c>
      <c r="DE149" s="75">
        <f t="shared" si="265"/>
        <v>0</v>
      </c>
      <c r="DF149" s="75"/>
      <c r="DG149" s="75">
        <f t="shared" si="266"/>
        <v>0</v>
      </c>
      <c r="DH149" s="75">
        <f t="shared" si="267"/>
        <v>0</v>
      </c>
      <c r="DI149" s="75"/>
      <c r="DJ149" s="75">
        <f t="shared" si="268"/>
        <v>0</v>
      </c>
      <c r="DK149" s="75">
        <f t="shared" si="269"/>
        <v>0</v>
      </c>
      <c r="DL149" s="75">
        <f t="shared" si="270"/>
        <v>0</v>
      </c>
      <c r="DM149" s="75">
        <f t="shared" si="271"/>
        <v>0</v>
      </c>
      <c r="DN149" s="75">
        <f t="shared" si="272"/>
        <v>0</v>
      </c>
      <c r="DO149" s="75">
        <f t="shared" si="273"/>
        <v>0</v>
      </c>
      <c r="DP149" s="75">
        <f t="shared" si="274"/>
        <v>0</v>
      </c>
      <c r="DQ149" s="75">
        <f t="shared" si="276"/>
        <v>0</v>
      </c>
      <c r="DR149" s="75">
        <f t="shared" si="275"/>
        <v>0</v>
      </c>
    </row>
    <row r="150" spans="1:122" ht="45.75" customHeight="1" x14ac:dyDescent="0.25">
      <c r="A150" s="246"/>
      <c r="B150" s="85"/>
      <c r="C150" s="86" t="s">
        <v>102</v>
      </c>
      <c r="D150" s="88" t="s">
        <v>101</v>
      </c>
      <c r="E150" s="80">
        <v>211</v>
      </c>
      <c r="F150" s="87" t="s">
        <v>12</v>
      </c>
      <c r="G150" s="228"/>
      <c r="H150" s="79">
        <f t="shared" si="203"/>
        <v>186695</v>
      </c>
      <c r="I150" s="79">
        <f t="shared" si="204"/>
        <v>39813305</v>
      </c>
      <c r="J150" s="87"/>
      <c r="K150" s="87"/>
      <c r="L150" s="87"/>
      <c r="M150" s="75">
        <f t="shared" si="205"/>
        <v>40000000</v>
      </c>
      <c r="N150" s="45"/>
      <c r="O150" s="45"/>
      <c r="P150" s="45"/>
      <c r="Q150" s="75">
        <f>90000000+500000000-250000000-300000000</f>
        <v>40000000</v>
      </c>
      <c r="R150" s="45"/>
      <c r="S150" s="45"/>
      <c r="T150" s="75"/>
      <c r="U150" s="75"/>
      <c r="V150" s="75"/>
      <c r="W150" s="75"/>
      <c r="X150" s="75"/>
      <c r="Y150" s="75"/>
      <c r="Z150" s="75"/>
      <c r="AA150" s="24"/>
      <c r="AB150" s="24"/>
      <c r="AC150" s="24"/>
      <c r="AD150" s="24"/>
      <c r="AE150" s="24"/>
      <c r="AF150" s="24"/>
      <c r="AG150" s="75"/>
      <c r="AI150" s="25">
        <f t="shared" si="241"/>
        <v>2.325E-2</v>
      </c>
      <c r="AJ150" s="75">
        <f t="shared" si="206"/>
        <v>930000</v>
      </c>
      <c r="AK150" s="75"/>
      <c r="AL150" s="75"/>
      <c r="AM150" s="75"/>
      <c r="AN150" s="75">
        <f>+'[6]JUNIO 2015'!$M$212</f>
        <v>930000</v>
      </c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  <c r="AY150" s="75"/>
      <c r="AZ150" s="75"/>
      <c r="BA150" s="75"/>
      <c r="BB150" s="75"/>
      <c r="BC150" s="75"/>
      <c r="BD150" s="75"/>
      <c r="BE150" s="25">
        <f t="shared" si="242"/>
        <v>0.97675000000000001</v>
      </c>
      <c r="BF150" s="75">
        <f t="shared" si="207"/>
        <v>39070000</v>
      </c>
      <c r="BG150" s="75">
        <f t="shared" si="247"/>
        <v>0</v>
      </c>
      <c r="BH150" s="75">
        <f t="shared" si="248"/>
        <v>0</v>
      </c>
      <c r="BI150" s="75"/>
      <c r="BJ150" s="75">
        <f t="shared" si="245"/>
        <v>39070000</v>
      </c>
      <c r="BK150" s="75">
        <f t="shared" si="249"/>
        <v>0</v>
      </c>
      <c r="BL150" s="75">
        <f t="shared" si="250"/>
        <v>0</v>
      </c>
      <c r="BM150" s="75">
        <f t="shared" si="251"/>
        <v>0</v>
      </c>
      <c r="BN150" s="75"/>
      <c r="BO150" s="75">
        <f t="shared" si="252"/>
        <v>0</v>
      </c>
      <c r="BP150" s="75">
        <f t="shared" si="253"/>
        <v>0</v>
      </c>
      <c r="BQ150" s="75">
        <f t="shared" si="254"/>
        <v>0</v>
      </c>
      <c r="BR150" s="75">
        <f t="shared" si="255"/>
        <v>0</v>
      </c>
      <c r="BS150" s="75">
        <f t="shared" si="256"/>
        <v>0</v>
      </c>
      <c r="BT150" s="75">
        <f t="shared" si="257"/>
        <v>0</v>
      </c>
      <c r="BU150" s="75">
        <f t="shared" si="258"/>
        <v>0</v>
      </c>
      <c r="BV150" s="75">
        <f t="shared" si="259"/>
        <v>0</v>
      </c>
      <c r="BW150" s="75">
        <f t="shared" si="260"/>
        <v>0</v>
      </c>
      <c r="BX150" s="75"/>
      <c r="BY150" s="75">
        <f t="shared" si="261"/>
        <v>0</v>
      </c>
      <c r="BZ150" s="75">
        <f t="shared" si="262"/>
        <v>0</v>
      </c>
      <c r="CA150" s="25">
        <f t="shared" si="243"/>
        <v>4.6673749999999996E-3</v>
      </c>
      <c r="CB150" s="75">
        <f t="shared" si="224"/>
        <v>186695</v>
      </c>
      <c r="CC150" s="75"/>
      <c r="CD150" s="75"/>
      <c r="CE150" s="75"/>
      <c r="CF150" s="75">
        <f>+'[6]JUNIO 2015'!$H$210</f>
        <v>186695</v>
      </c>
      <c r="CG150" s="75"/>
      <c r="CH150" s="75"/>
      <c r="CI150" s="75"/>
      <c r="CJ150" s="75"/>
      <c r="CK150" s="75"/>
      <c r="CL150" s="75"/>
      <c r="CM150" s="75"/>
      <c r="CN150" s="75"/>
      <c r="CO150" s="75"/>
      <c r="CP150" s="75"/>
      <c r="CQ150" s="75"/>
      <c r="CR150" s="75"/>
      <c r="CS150" s="75"/>
      <c r="CT150" s="75"/>
      <c r="CU150" s="75"/>
      <c r="CV150" s="75"/>
      <c r="CW150" s="25">
        <f t="shared" si="244"/>
        <v>0.99533262499999997</v>
      </c>
      <c r="CX150" s="75">
        <f t="shared" si="225"/>
        <v>39813305</v>
      </c>
      <c r="CY150" s="75"/>
      <c r="CZ150" s="75"/>
      <c r="DA150" s="75"/>
      <c r="DB150" s="75">
        <f t="shared" si="246"/>
        <v>39813305</v>
      </c>
      <c r="DC150" s="75">
        <f t="shared" si="263"/>
        <v>0</v>
      </c>
      <c r="DD150" s="75">
        <f t="shared" si="264"/>
        <v>0</v>
      </c>
      <c r="DE150" s="75">
        <f t="shared" si="265"/>
        <v>0</v>
      </c>
      <c r="DF150" s="75"/>
      <c r="DG150" s="75">
        <f t="shared" si="266"/>
        <v>0</v>
      </c>
      <c r="DH150" s="75">
        <f t="shared" si="267"/>
        <v>0</v>
      </c>
      <c r="DI150" s="75"/>
      <c r="DJ150" s="75">
        <f t="shared" si="268"/>
        <v>0</v>
      </c>
      <c r="DK150" s="75">
        <f t="shared" si="269"/>
        <v>0</v>
      </c>
      <c r="DL150" s="75">
        <f t="shared" si="270"/>
        <v>0</v>
      </c>
      <c r="DM150" s="75">
        <f t="shared" si="271"/>
        <v>0</v>
      </c>
      <c r="DN150" s="75">
        <f t="shared" si="272"/>
        <v>0</v>
      </c>
      <c r="DO150" s="75">
        <f t="shared" si="273"/>
        <v>0</v>
      </c>
      <c r="DP150" s="75">
        <f t="shared" si="274"/>
        <v>0</v>
      </c>
      <c r="DQ150" s="75">
        <f t="shared" si="276"/>
        <v>0</v>
      </c>
      <c r="DR150" s="75">
        <f t="shared" si="275"/>
        <v>0</v>
      </c>
    </row>
    <row r="151" spans="1:122" ht="35.25" customHeight="1" x14ac:dyDescent="0.25">
      <c r="A151" s="246"/>
      <c r="B151" s="85"/>
      <c r="C151" s="86" t="s">
        <v>100</v>
      </c>
      <c r="D151" s="81" t="s">
        <v>99</v>
      </c>
      <c r="E151" s="80">
        <v>211</v>
      </c>
      <c r="F151" s="78" t="s">
        <v>12</v>
      </c>
      <c r="G151" s="228"/>
      <c r="H151" s="79">
        <f t="shared" si="203"/>
        <v>0</v>
      </c>
      <c r="I151" s="79">
        <f t="shared" si="204"/>
        <v>300000000</v>
      </c>
      <c r="J151" s="78"/>
      <c r="K151" s="78"/>
      <c r="L151" s="78"/>
      <c r="M151" s="75">
        <f t="shared" si="205"/>
        <v>300000000</v>
      </c>
      <c r="N151" s="45"/>
      <c r="O151" s="45"/>
      <c r="P151" s="45"/>
      <c r="Q151" s="75">
        <f>300000000-300000000+300000000</f>
        <v>300000000</v>
      </c>
      <c r="R151" s="45"/>
      <c r="S151" s="45"/>
      <c r="T151" s="75"/>
      <c r="U151" s="75"/>
      <c r="V151" s="75"/>
      <c r="W151" s="75"/>
      <c r="X151" s="75"/>
      <c r="Y151" s="75"/>
      <c r="Z151" s="75"/>
      <c r="AA151" s="24"/>
      <c r="AB151" s="24"/>
      <c r="AC151" s="24"/>
      <c r="AD151" s="24"/>
      <c r="AE151" s="24"/>
      <c r="AF151" s="24"/>
      <c r="AG151" s="75"/>
      <c r="AI151" s="25">
        <f t="shared" si="241"/>
        <v>1</v>
      </c>
      <c r="AJ151" s="75">
        <f t="shared" si="206"/>
        <v>300000000</v>
      </c>
      <c r="AK151" s="75"/>
      <c r="AL151" s="75"/>
      <c r="AM151" s="75"/>
      <c r="AN151" s="75">
        <f>+'[2]JULIO 2015'!$M$236</f>
        <v>300000000</v>
      </c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  <c r="AY151" s="75"/>
      <c r="AZ151" s="75"/>
      <c r="BA151" s="75"/>
      <c r="BB151" s="75"/>
      <c r="BC151" s="75"/>
      <c r="BD151" s="75"/>
      <c r="BE151" s="25">
        <f t="shared" si="242"/>
        <v>0</v>
      </c>
      <c r="BF151" s="75">
        <f t="shared" si="207"/>
        <v>0</v>
      </c>
      <c r="BG151" s="75">
        <f t="shared" si="247"/>
        <v>0</v>
      </c>
      <c r="BH151" s="75">
        <f t="shared" si="248"/>
        <v>0</v>
      </c>
      <c r="BI151" s="75"/>
      <c r="BJ151" s="75">
        <f t="shared" si="245"/>
        <v>0</v>
      </c>
      <c r="BK151" s="75">
        <f t="shared" si="249"/>
        <v>0</v>
      </c>
      <c r="BL151" s="75">
        <f t="shared" si="250"/>
        <v>0</v>
      </c>
      <c r="BM151" s="75">
        <f t="shared" si="251"/>
        <v>0</v>
      </c>
      <c r="BN151" s="75"/>
      <c r="BO151" s="75">
        <f t="shared" si="252"/>
        <v>0</v>
      </c>
      <c r="BP151" s="75">
        <f t="shared" si="253"/>
        <v>0</v>
      </c>
      <c r="BQ151" s="75">
        <f t="shared" si="254"/>
        <v>0</v>
      </c>
      <c r="BR151" s="75">
        <f t="shared" si="255"/>
        <v>0</v>
      </c>
      <c r="BS151" s="75">
        <f t="shared" si="256"/>
        <v>0</v>
      </c>
      <c r="BT151" s="75">
        <f t="shared" si="257"/>
        <v>0</v>
      </c>
      <c r="BU151" s="75">
        <f t="shared" si="258"/>
        <v>0</v>
      </c>
      <c r="BV151" s="75">
        <f t="shared" si="259"/>
        <v>0</v>
      </c>
      <c r="BW151" s="75">
        <f t="shared" si="260"/>
        <v>0</v>
      </c>
      <c r="BX151" s="75"/>
      <c r="BY151" s="75">
        <f t="shared" si="261"/>
        <v>0</v>
      </c>
      <c r="BZ151" s="75">
        <f t="shared" si="262"/>
        <v>0</v>
      </c>
      <c r="CA151" s="25">
        <f t="shared" si="243"/>
        <v>0</v>
      </c>
      <c r="CB151" s="75">
        <f t="shared" si="224"/>
        <v>0</v>
      </c>
      <c r="CC151" s="75"/>
      <c r="CD151" s="75"/>
      <c r="CE151" s="75"/>
      <c r="CF151" s="75"/>
      <c r="CG151" s="75"/>
      <c r="CH151" s="75"/>
      <c r="CI151" s="75"/>
      <c r="CJ151" s="75"/>
      <c r="CK151" s="75"/>
      <c r="CL151" s="75"/>
      <c r="CM151" s="75"/>
      <c r="CN151" s="75"/>
      <c r="CO151" s="75"/>
      <c r="CP151" s="75"/>
      <c r="CQ151" s="75"/>
      <c r="CR151" s="75"/>
      <c r="CS151" s="75"/>
      <c r="CT151" s="75"/>
      <c r="CU151" s="75"/>
      <c r="CV151" s="75"/>
      <c r="CW151" s="25">
        <f t="shared" si="244"/>
        <v>1</v>
      </c>
      <c r="CX151" s="75">
        <f t="shared" si="225"/>
        <v>300000000</v>
      </c>
      <c r="CY151" s="75"/>
      <c r="CZ151" s="75"/>
      <c r="DA151" s="75"/>
      <c r="DB151" s="75">
        <f t="shared" si="246"/>
        <v>300000000</v>
      </c>
      <c r="DC151" s="75">
        <f t="shared" si="263"/>
        <v>0</v>
      </c>
      <c r="DD151" s="75">
        <f t="shared" si="264"/>
        <v>0</v>
      </c>
      <c r="DE151" s="75">
        <f t="shared" si="265"/>
        <v>0</v>
      </c>
      <c r="DF151" s="75"/>
      <c r="DG151" s="75">
        <f t="shared" si="266"/>
        <v>0</v>
      </c>
      <c r="DH151" s="75">
        <f t="shared" si="267"/>
        <v>0</v>
      </c>
      <c r="DI151" s="75"/>
      <c r="DJ151" s="75">
        <f t="shared" si="268"/>
        <v>0</v>
      </c>
      <c r="DK151" s="75">
        <f t="shared" si="269"/>
        <v>0</v>
      </c>
      <c r="DL151" s="75">
        <f t="shared" si="270"/>
        <v>0</v>
      </c>
      <c r="DM151" s="75">
        <f t="shared" si="271"/>
        <v>0</v>
      </c>
      <c r="DN151" s="75">
        <f t="shared" si="272"/>
        <v>0</v>
      </c>
      <c r="DO151" s="75">
        <f t="shared" si="273"/>
        <v>0</v>
      </c>
      <c r="DP151" s="75">
        <f t="shared" si="274"/>
        <v>0</v>
      </c>
      <c r="DQ151" s="75">
        <f t="shared" si="276"/>
        <v>0</v>
      </c>
      <c r="DR151" s="75">
        <f t="shared" si="275"/>
        <v>0</v>
      </c>
    </row>
    <row r="152" spans="1:122" ht="32.25" customHeight="1" x14ac:dyDescent="0.25">
      <c r="A152" s="246"/>
      <c r="B152" s="85"/>
      <c r="C152" s="86" t="s">
        <v>98</v>
      </c>
      <c r="D152" s="81" t="s">
        <v>97</v>
      </c>
      <c r="E152" s="80">
        <v>211</v>
      </c>
      <c r="F152" s="78" t="s">
        <v>96</v>
      </c>
      <c r="G152" s="228"/>
      <c r="H152" s="79">
        <f t="shared" si="203"/>
        <v>0</v>
      </c>
      <c r="I152" s="79">
        <f t="shared" si="204"/>
        <v>4200000</v>
      </c>
      <c r="J152" s="78"/>
      <c r="K152" s="78"/>
      <c r="L152" s="78"/>
      <c r="M152" s="75">
        <f t="shared" si="205"/>
        <v>4200000</v>
      </c>
      <c r="N152" s="45"/>
      <c r="O152" s="45"/>
      <c r="P152" s="45"/>
      <c r="Q152" s="75"/>
      <c r="R152" s="45"/>
      <c r="S152" s="45"/>
      <c r="T152" s="75"/>
      <c r="U152" s="75"/>
      <c r="V152" s="75"/>
      <c r="W152" s="75"/>
      <c r="X152" s="75"/>
      <c r="Y152" s="75"/>
      <c r="Z152" s="75"/>
      <c r="AA152" s="24"/>
      <c r="AB152" s="24"/>
      <c r="AC152" s="24"/>
      <c r="AD152" s="24"/>
      <c r="AE152" s="24"/>
      <c r="AF152" s="24"/>
      <c r="AG152" s="75">
        <f>4200000</f>
        <v>4200000</v>
      </c>
      <c r="AI152" s="25">
        <f t="shared" si="241"/>
        <v>1</v>
      </c>
      <c r="AJ152" s="75">
        <f t="shared" si="206"/>
        <v>4200000</v>
      </c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  <c r="AY152" s="75"/>
      <c r="AZ152" s="75"/>
      <c r="BA152" s="75"/>
      <c r="BB152" s="75"/>
      <c r="BC152" s="75"/>
      <c r="BD152" s="75">
        <f>+'[9]ENERO 2015'!$AA$166</f>
        <v>4200000</v>
      </c>
      <c r="BE152" s="25">
        <f t="shared" si="242"/>
        <v>0</v>
      </c>
      <c r="BF152" s="75">
        <f t="shared" si="207"/>
        <v>0</v>
      </c>
      <c r="BG152" s="75">
        <f t="shared" si="247"/>
        <v>0</v>
      </c>
      <c r="BH152" s="75">
        <f t="shared" si="248"/>
        <v>0</v>
      </c>
      <c r="BI152" s="75"/>
      <c r="BJ152" s="75">
        <f t="shared" si="245"/>
        <v>0</v>
      </c>
      <c r="BK152" s="75">
        <f t="shared" si="249"/>
        <v>0</v>
      </c>
      <c r="BL152" s="75">
        <f t="shared" si="250"/>
        <v>0</v>
      </c>
      <c r="BM152" s="75">
        <f t="shared" si="251"/>
        <v>0</v>
      </c>
      <c r="BN152" s="75"/>
      <c r="BO152" s="75">
        <f t="shared" si="252"/>
        <v>0</v>
      </c>
      <c r="BP152" s="75">
        <f t="shared" si="253"/>
        <v>0</v>
      </c>
      <c r="BQ152" s="75">
        <f t="shared" si="254"/>
        <v>0</v>
      </c>
      <c r="BR152" s="75">
        <f t="shared" si="255"/>
        <v>0</v>
      </c>
      <c r="BS152" s="75">
        <f t="shared" si="256"/>
        <v>0</v>
      </c>
      <c r="BT152" s="75">
        <f t="shared" si="257"/>
        <v>0</v>
      </c>
      <c r="BU152" s="75">
        <f t="shared" si="258"/>
        <v>0</v>
      </c>
      <c r="BV152" s="75">
        <f t="shared" si="259"/>
        <v>0</v>
      </c>
      <c r="BW152" s="75">
        <f t="shared" si="260"/>
        <v>0</v>
      </c>
      <c r="BX152" s="75"/>
      <c r="BY152" s="75">
        <f t="shared" si="261"/>
        <v>0</v>
      </c>
      <c r="BZ152" s="75">
        <f t="shared" si="262"/>
        <v>0</v>
      </c>
      <c r="CA152" s="25">
        <f t="shared" si="243"/>
        <v>0</v>
      </c>
      <c r="CB152" s="75">
        <f t="shared" si="224"/>
        <v>0</v>
      </c>
      <c r="CC152" s="75"/>
      <c r="CD152" s="75"/>
      <c r="CE152" s="75"/>
      <c r="CF152" s="75"/>
      <c r="CG152" s="75"/>
      <c r="CH152" s="75"/>
      <c r="CI152" s="75"/>
      <c r="CJ152" s="75"/>
      <c r="CK152" s="75"/>
      <c r="CL152" s="75"/>
      <c r="CM152" s="75"/>
      <c r="CN152" s="75"/>
      <c r="CO152" s="75"/>
      <c r="CP152" s="75"/>
      <c r="CQ152" s="75"/>
      <c r="CR152" s="75"/>
      <c r="CS152" s="75"/>
      <c r="CT152" s="75"/>
      <c r="CU152" s="75"/>
      <c r="CV152" s="75"/>
      <c r="CW152" s="25">
        <f t="shared" si="244"/>
        <v>1</v>
      </c>
      <c r="CX152" s="75">
        <f t="shared" si="225"/>
        <v>4200000</v>
      </c>
      <c r="CY152" s="75"/>
      <c r="CZ152" s="75"/>
      <c r="DA152" s="75"/>
      <c r="DB152" s="75">
        <f t="shared" si="246"/>
        <v>0</v>
      </c>
      <c r="DC152" s="75">
        <f t="shared" si="263"/>
        <v>0</v>
      </c>
      <c r="DD152" s="75">
        <f t="shared" si="264"/>
        <v>0</v>
      </c>
      <c r="DE152" s="75">
        <f t="shared" si="265"/>
        <v>0</v>
      </c>
      <c r="DF152" s="75"/>
      <c r="DG152" s="75">
        <f t="shared" si="266"/>
        <v>0</v>
      </c>
      <c r="DH152" s="75">
        <f t="shared" si="267"/>
        <v>0</v>
      </c>
      <c r="DI152" s="75"/>
      <c r="DJ152" s="75">
        <f t="shared" si="268"/>
        <v>0</v>
      </c>
      <c r="DK152" s="75">
        <f t="shared" si="269"/>
        <v>0</v>
      </c>
      <c r="DL152" s="75">
        <f t="shared" si="270"/>
        <v>0</v>
      </c>
      <c r="DM152" s="75">
        <f t="shared" si="271"/>
        <v>0</v>
      </c>
      <c r="DN152" s="75">
        <f t="shared" si="272"/>
        <v>0</v>
      </c>
      <c r="DO152" s="75">
        <f t="shared" si="273"/>
        <v>0</v>
      </c>
      <c r="DP152" s="75">
        <f t="shared" si="274"/>
        <v>0</v>
      </c>
      <c r="DQ152" s="75">
        <f t="shared" si="276"/>
        <v>0</v>
      </c>
      <c r="DR152" s="75">
        <f t="shared" si="275"/>
        <v>4200000</v>
      </c>
    </row>
    <row r="153" spans="1:122" ht="21" customHeight="1" x14ac:dyDescent="0.25">
      <c r="A153" s="246"/>
      <c r="B153" s="85"/>
      <c r="C153" s="86" t="s">
        <v>95</v>
      </c>
      <c r="D153" s="81" t="s">
        <v>94</v>
      </c>
      <c r="E153" s="80">
        <v>211</v>
      </c>
      <c r="F153" s="78" t="s">
        <v>12</v>
      </c>
      <c r="G153" s="228"/>
      <c r="H153" s="79">
        <f t="shared" si="203"/>
        <v>0</v>
      </c>
      <c r="I153" s="79">
        <f t="shared" si="204"/>
        <v>30741545</v>
      </c>
      <c r="J153" s="78"/>
      <c r="K153" s="78"/>
      <c r="L153" s="78"/>
      <c r="M153" s="75">
        <f t="shared" si="205"/>
        <v>30741545</v>
      </c>
      <c r="N153" s="45"/>
      <c r="O153" s="45"/>
      <c r="P153" s="45"/>
      <c r="Q153" s="75">
        <f>124058456-124058456</f>
        <v>0</v>
      </c>
      <c r="R153" s="45"/>
      <c r="S153" s="45"/>
      <c r="T153" s="75"/>
      <c r="U153" s="75"/>
      <c r="V153" s="75"/>
      <c r="W153" s="75"/>
      <c r="X153" s="75"/>
      <c r="Y153" s="75">
        <v>30741545</v>
      </c>
      <c r="Z153" s="75"/>
      <c r="AA153" s="24"/>
      <c r="AB153" s="24"/>
      <c r="AC153" s="24"/>
      <c r="AD153" s="24"/>
      <c r="AE153" s="24"/>
      <c r="AF153" s="24"/>
      <c r="AG153" s="75"/>
      <c r="AI153" s="25">
        <f t="shared" si="241"/>
        <v>0</v>
      </c>
      <c r="AJ153" s="75">
        <f t="shared" si="206"/>
        <v>0</v>
      </c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  <c r="AY153" s="75"/>
      <c r="AZ153" s="75"/>
      <c r="BA153" s="75"/>
      <c r="BB153" s="75"/>
      <c r="BC153" s="75"/>
      <c r="BD153" s="75"/>
      <c r="BE153" s="25">
        <f t="shared" si="242"/>
        <v>1</v>
      </c>
      <c r="BF153" s="75">
        <f t="shared" si="207"/>
        <v>30741545</v>
      </c>
      <c r="BG153" s="75">
        <f t="shared" si="247"/>
        <v>0</v>
      </c>
      <c r="BH153" s="75">
        <f t="shared" si="248"/>
        <v>0</v>
      </c>
      <c r="BI153" s="75"/>
      <c r="BJ153" s="75">
        <f t="shared" si="245"/>
        <v>0</v>
      </c>
      <c r="BK153" s="75">
        <f t="shared" si="249"/>
        <v>0</v>
      </c>
      <c r="BL153" s="75">
        <f t="shared" si="250"/>
        <v>0</v>
      </c>
      <c r="BM153" s="75">
        <f t="shared" si="251"/>
        <v>0</v>
      </c>
      <c r="BN153" s="75"/>
      <c r="BO153" s="75">
        <f t="shared" si="252"/>
        <v>0</v>
      </c>
      <c r="BP153" s="75">
        <f t="shared" si="253"/>
        <v>0</v>
      </c>
      <c r="BQ153" s="75">
        <f t="shared" si="254"/>
        <v>0</v>
      </c>
      <c r="BR153" s="75">
        <f t="shared" si="255"/>
        <v>30741545</v>
      </c>
      <c r="BS153" s="75">
        <f t="shared" si="256"/>
        <v>0</v>
      </c>
      <c r="BT153" s="75">
        <f t="shared" si="257"/>
        <v>0</v>
      </c>
      <c r="BU153" s="75">
        <f t="shared" si="258"/>
        <v>0</v>
      </c>
      <c r="BV153" s="75">
        <f t="shared" si="259"/>
        <v>0</v>
      </c>
      <c r="BW153" s="75">
        <f t="shared" si="260"/>
        <v>0</v>
      </c>
      <c r="BX153" s="75"/>
      <c r="BY153" s="75">
        <f t="shared" si="261"/>
        <v>0</v>
      </c>
      <c r="BZ153" s="75">
        <f t="shared" si="262"/>
        <v>0</v>
      </c>
      <c r="CA153" s="25">
        <f t="shared" si="243"/>
        <v>0</v>
      </c>
      <c r="CB153" s="75">
        <f t="shared" si="224"/>
        <v>0</v>
      </c>
      <c r="CC153" s="75"/>
      <c r="CD153" s="75"/>
      <c r="CE153" s="75"/>
      <c r="CF153" s="75"/>
      <c r="CG153" s="75"/>
      <c r="CH153" s="75"/>
      <c r="CI153" s="75"/>
      <c r="CJ153" s="75"/>
      <c r="CK153" s="75"/>
      <c r="CL153" s="75"/>
      <c r="CM153" s="75"/>
      <c r="CN153" s="75"/>
      <c r="CO153" s="75"/>
      <c r="CP153" s="75"/>
      <c r="CQ153" s="75"/>
      <c r="CR153" s="75"/>
      <c r="CS153" s="75"/>
      <c r="CT153" s="75"/>
      <c r="CU153" s="75"/>
      <c r="CV153" s="75"/>
      <c r="CW153" s="25">
        <f t="shared" si="244"/>
        <v>1</v>
      </c>
      <c r="CX153" s="75">
        <f t="shared" si="225"/>
        <v>30741545</v>
      </c>
      <c r="CY153" s="75"/>
      <c r="CZ153" s="75"/>
      <c r="DA153" s="75"/>
      <c r="DB153" s="75">
        <f t="shared" si="246"/>
        <v>0</v>
      </c>
      <c r="DC153" s="75">
        <f t="shared" si="263"/>
        <v>0</v>
      </c>
      <c r="DD153" s="75">
        <f t="shared" si="264"/>
        <v>0</v>
      </c>
      <c r="DE153" s="75">
        <f t="shared" si="265"/>
        <v>0</v>
      </c>
      <c r="DF153" s="75"/>
      <c r="DG153" s="75">
        <f t="shared" si="266"/>
        <v>0</v>
      </c>
      <c r="DH153" s="75">
        <f t="shared" si="267"/>
        <v>0</v>
      </c>
      <c r="DI153" s="75"/>
      <c r="DJ153" s="75">
        <f t="shared" si="268"/>
        <v>30741545</v>
      </c>
      <c r="DK153" s="75">
        <f t="shared" si="269"/>
        <v>0</v>
      </c>
      <c r="DL153" s="75">
        <f t="shared" si="270"/>
        <v>0</v>
      </c>
      <c r="DM153" s="75">
        <f t="shared" si="271"/>
        <v>0</v>
      </c>
      <c r="DN153" s="75">
        <f t="shared" si="272"/>
        <v>0</v>
      </c>
      <c r="DO153" s="75">
        <f t="shared" si="273"/>
        <v>0</v>
      </c>
      <c r="DP153" s="75">
        <f t="shared" si="274"/>
        <v>0</v>
      </c>
      <c r="DQ153" s="75">
        <f t="shared" si="276"/>
        <v>0</v>
      </c>
      <c r="DR153" s="75">
        <f t="shared" si="275"/>
        <v>0</v>
      </c>
    </row>
    <row r="154" spans="1:122" ht="20.25" customHeight="1" x14ac:dyDescent="0.25">
      <c r="A154" s="246"/>
      <c r="B154" s="85"/>
      <c r="C154" s="86" t="s">
        <v>93</v>
      </c>
      <c r="D154" s="81" t="s">
        <v>92</v>
      </c>
      <c r="E154" s="80">
        <v>211</v>
      </c>
      <c r="F154" s="78" t="s">
        <v>12</v>
      </c>
      <c r="G154" s="228"/>
      <c r="H154" s="79">
        <f t="shared" ref="H154:H186" si="277">+CB154</f>
        <v>239816980</v>
      </c>
      <c r="I154" s="79">
        <f t="shared" ref="I154:I185" si="278">M154-H154</f>
        <v>0</v>
      </c>
      <c r="J154" s="78"/>
      <c r="K154" s="78"/>
      <c r="L154" s="78"/>
      <c r="M154" s="75">
        <f t="shared" ref="M154:M185" si="279">SUM(N154:AG154)</f>
        <v>239816980</v>
      </c>
      <c r="N154" s="45"/>
      <c r="O154" s="45"/>
      <c r="P154" s="45"/>
      <c r="Q154" s="75">
        <f>101542660+138457340-183020</f>
        <v>239816980</v>
      </c>
      <c r="R154" s="45"/>
      <c r="S154" s="45"/>
      <c r="T154" s="75">
        <f>169457340-169457340</f>
        <v>0</v>
      </c>
      <c r="U154" s="75"/>
      <c r="V154" s="75"/>
      <c r="W154" s="75"/>
      <c r="X154" s="75"/>
      <c r="Y154" s="75"/>
      <c r="Z154" s="75"/>
      <c r="AA154" s="24"/>
      <c r="AB154" s="24"/>
      <c r="AC154" s="24"/>
      <c r="AD154" s="24"/>
      <c r="AE154" s="24"/>
      <c r="AF154" s="24"/>
      <c r="AG154" s="75"/>
      <c r="AI154" s="25">
        <f t="shared" si="241"/>
        <v>1</v>
      </c>
      <c r="AJ154" s="75">
        <f t="shared" ref="AJ154:AJ185" si="280">SUM(AK154:BD154)</f>
        <v>239816980</v>
      </c>
      <c r="AK154" s="75"/>
      <c r="AL154" s="75"/>
      <c r="AM154" s="75"/>
      <c r="AN154" s="75">
        <f>+'[6]JUNIO 2015'!$M$235</f>
        <v>239816980</v>
      </c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25">
        <f t="shared" si="242"/>
        <v>0</v>
      </c>
      <c r="BF154" s="75">
        <f t="shared" ref="BF154:BF185" si="281">SUM(BG154:BZ154)</f>
        <v>0</v>
      </c>
      <c r="BG154" s="75">
        <f t="shared" si="247"/>
        <v>0</v>
      </c>
      <c r="BH154" s="75">
        <f t="shared" si="248"/>
        <v>0</v>
      </c>
      <c r="BI154" s="75"/>
      <c r="BJ154" s="75">
        <f t="shared" si="245"/>
        <v>0</v>
      </c>
      <c r="BK154" s="75">
        <f t="shared" si="249"/>
        <v>0</v>
      </c>
      <c r="BL154" s="75">
        <f t="shared" si="250"/>
        <v>0</v>
      </c>
      <c r="BM154" s="75">
        <f t="shared" si="251"/>
        <v>0</v>
      </c>
      <c r="BN154" s="75"/>
      <c r="BO154" s="75">
        <f t="shared" si="252"/>
        <v>0</v>
      </c>
      <c r="BP154" s="75">
        <f t="shared" si="253"/>
        <v>0</v>
      </c>
      <c r="BQ154" s="75">
        <f t="shared" si="254"/>
        <v>0</v>
      </c>
      <c r="BR154" s="75">
        <f t="shared" si="255"/>
        <v>0</v>
      </c>
      <c r="BS154" s="75">
        <f t="shared" si="256"/>
        <v>0</v>
      </c>
      <c r="BT154" s="75">
        <f t="shared" si="257"/>
        <v>0</v>
      </c>
      <c r="BU154" s="75">
        <f t="shared" si="258"/>
        <v>0</v>
      </c>
      <c r="BV154" s="75">
        <f t="shared" si="259"/>
        <v>0</v>
      </c>
      <c r="BW154" s="75">
        <f t="shared" si="260"/>
        <v>0</v>
      </c>
      <c r="BX154" s="75"/>
      <c r="BY154" s="75">
        <f t="shared" si="261"/>
        <v>0</v>
      </c>
      <c r="BZ154" s="75">
        <f t="shared" si="262"/>
        <v>0</v>
      </c>
      <c r="CA154" s="25">
        <f t="shared" si="243"/>
        <v>1</v>
      </c>
      <c r="CB154" s="75">
        <f t="shared" ref="CB154:CB185" si="282">SUM(CC154:CV154)</f>
        <v>239816980</v>
      </c>
      <c r="CC154" s="75"/>
      <c r="CD154" s="75"/>
      <c r="CE154" s="75"/>
      <c r="CF154" s="75">
        <f>+'[3]ABRIL 2015'!$H$216</f>
        <v>239816980</v>
      </c>
      <c r="CG154" s="75"/>
      <c r="CH154" s="75"/>
      <c r="CI154" s="75"/>
      <c r="CJ154" s="75"/>
      <c r="CK154" s="75"/>
      <c r="CL154" s="75"/>
      <c r="CM154" s="75"/>
      <c r="CN154" s="75"/>
      <c r="CO154" s="75"/>
      <c r="CP154" s="75"/>
      <c r="CQ154" s="75"/>
      <c r="CR154" s="75"/>
      <c r="CS154" s="75"/>
      <c r="CT154" s="75"/>
      <c r="CU154" s="75"/>
      <c r="CV154" s="75"/>
      <c r="CW154" s="25">
        <f t="shared" si="244"/>
        <v>0</v>
      </c>
      <c r="CX154" s="75">
        <f t="shared" ref="CX154:CX185" si="283">SUM(CY154:DR154)</f>
        <v>0</v>
      </c>
      <c r="CY154" s="75"/>
      <c r="CZ154" s="75"/>
      <c r="DA154" s="75"/>
      <c r="DB154" s="75">
        <f t="shared" si="246"/>
        <v>0</v>
      </c>
      <c r="DC154" s="75">
        <f t="shared" si="263"/>
        <v>0</v>
      </c>
      <c r="DD154" s="75">
        <f t="shared" si="264"/>
        <v>0</v>
      </c>
      <c r="DE154" s="75">
        <f t="shared" si="265"/>
        <v>0</v>
      </c>
      <c r="DF154" s="75"/>
      <c r="DG154" s="75">
        <f t="shared" si="266"/>
        <v>0</v>
      </c>
      <c r="DH154" s="75">
        <f t="shared" si="267"/>
        <v>0</v>
      </c>
      <c r="DI154" s="75"/>
      <c r="DJ154" s="75">
        <f t="shared" si="268"/>
        <v>0</v>
      </c>
      <c r="DK154" s="75">
        <f t="shared" si="269"/>
        <v>0</v>
      </c>
      <c r="DL154" s="75">
        <f t="shared" si="270"/>
        <v>0</v>
      </c>
      <c r="DM154" s="75">
        <f t="shared" si="271"/>
        <v>0</v>
      </c>
      <c r="DN154" s="75">
        <f t="shared" si="272"/>
        <v>0</v>
      </c>
      <c r="DO154" s="75">
        <f t="shared" si="273"/>
        <v>0</v>
      </c>
      <c r="DP154" s="75">
        <f t="shared" si="274"/>
        <v>0</v>
      </c>
      <c r="DQ154" s="75">
        <f t="shared" si="276"/>
        <v>0</v>
      </c>
      <c r="DR154" s="75">
        <f t="shared" si="275"/>
        <v>0</v>
      </c>
    </row>
    <row r="155" spans="1:122" ht="18.75" customHeight="1" x14ac:dyDescent="0.25">
      <c r="A155" s="246"/>
      <c r="B155" s="85"/>
      <c r="C155" s="86" t="s">
        <v>91</v>
      </c>
      <c r="D155" s="81" t="s">
        <v>90</v>
      </c>
      <c r="E155" s="80">
        <v>211</v>
      </c>
      <c r="F155" s="78" t="s">
        <v>12</v>
      </c>
      <c r="G155" s="228"/>
      <c r="H155" s="79">
        <f t="shared" si="277"/>
        <v>0</v>
      </c>
      <c r="I155" s="79">
        <f t="shared" si="278"/>
        <v>0</v>
      </c>
      <c r="J155" s="78"/>
      <c r="K155" s="78"/>
      <c r="L155" s="78"/>
      <c r="M155" s="75">
        <f t="shared" si="279"/>
        <v>0</v>
      </c>
      <c r="N155" s="45"/>
      <c r="O155" s="75">
        <f>353000000-353000000</f>
        <v>0</v>
      </c>
      <c r="P155" s="75"/>
      <c r="Q155" s="75">
        <f>99815599-99815599</f>
        <v>0</v>
      </c>
      <c r="R155" s="75"/>
      <c r="S155" s="75"/>
      <c r="T155" s="75">
        <f>500000000-37000000-110000000-353000000</f>
        <v>0</v>
      </c>
      <c r="U155" s="45"/>
      <c r="V155" s="45"/>
      <c r="W155" s="24"/>
      <c r="X155" s="24"/>
      <c r="Y155" s="24"/>
      <c r="Z155" s="24"/>
      <c r="AA155" s="24"/>
      <c r="AB155" s="45"/>
      <c r="AC155" s="45"/>
      <c r="AD155" s="45"/>
      <c r="AE155" s="45"/>
      <c r="AF155" s="45"/>
      <c r="AG155" s="75"/>
      <c r="AI155" s="25" t="e">
        <f t="shared" si="241"/>
        <v>#DIV/0!</v>
      </c>
      <c r="AJ155" s="75">
        <f t="shared" si="280"/>
        <v>0</v>
      </c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25" t="e">
        <f t="shared" si="242"/>
        <v>#DIV/0!</v>
      </c>
      <c r="BF155" s="75">
        <f t="shared" si="281"/>
        <v>0</v>
      </c>
      <c r="BG155" s="75">
        <f t="shared" si="247"/>
        <v>0</v>
      </c>
      <c r="BH155" s="75">
        <f t="shared" si="248"/>
        <v>0</v>
      </c>
      <c r="BI155" s="75"/>
      <c r="BJ155" s="75">
        <f t="shared" si="245"/>
        <v>0</v>
      </c>
      <c r="BK155" s="75">
        <f t="shared" si="249"/>
        <v>0</v>
      </c>
      <c r="BL155" s="75">
        <f t="shared" si="250"/>
        <v>0</v>
      </c>
      <c r="BM155" s="75">
        <f t="shared" si="251"/>
        <v>0</v>
      </c>
      <c r="BN155" s="75"/>
      <c r="BO155" s="75">
        <f t="shared" si="252"/>
        <v>0</v>
      </c>
      <c r="BP155" s="75">
        <f t="shared" si="253"/>
        <v>0</v>
      </c>
      <c r="BQ155" s="75">
        <f t="shared" si="254"/>
        <v>0</v>
      </c>
      <c r="BR155" s="75">
        <f t="shared" si="255"/>
        <v>0</v>
      </c>
      <c r="BS155" s="75">
        <f t="shared" si="256"/>
        <v>0</v>
      </c>
      <c r="BT155" s="75">
        <f t="shared" si="257"/>
        <v>0</v>
      </c>
      <c r="BU155" s="75">
        <f t="shared" si="258"/>
        <v>0</v>
      </c>
      <c r="BV155" s="75">
        <f t="shared" si="259"/>
        <v>0</v>
      </c>
      <c r="BW155" s="75">
        <f t="shared" si="260"/>
        <v>0</v>
      </c>
      <c r="BX155" s="75">
        <f>+AE155-BB155</f>
        <v>0</v>
      </c>
      <c r="BY155" s="75">
        <f t="shared" si="261"/>
        <v>0</v>
      </c>
      <c r="BZ155" s="75">
        <f t="shared" si="262"/>
        <v>0</v>
      </c>
      <c r="CA155" s="25" t="e">
        <f t="shared" si="243"/>
        <v>#DIV/0!</v>
      </c>
      <c r="CB155" s="75">
        <f t="shared" si="282"/>
        <v>0</v>
      </c>
      <c r="CC155" s="75"/>
      <c r="CD155" s="75"/>
      <c r="CE155" s="75"/>
      <c r="CF155" s="75"/>
      <c r="CG155" s="75"/>
      <c r="CH155" s="75"/>
      <c r="CI155" s="75"/>
      <c r="CJ155" s="75"/>
      <c r="CK155" s="75"/>
      <c r="CL155" s="75"/>
      <c r="CM155" s="75"/>
      <c r="CN155" s="75"/>
      <c r="CO155" s="75"/>
      <c r="CP155" s="75"/>
      <c r="CQ155" s="75"/>
      <c r="CR155" s="75"/>
      <c r="CS155" s="75"/>
      <c r="CT155" s="75"/>
      <c r="CU155" s="75"/>
      <c r="CV155" s="75"/>
      <c r="CW155" s="25" t="e">
        <f t="shared" si="244"/>
        <v>#DIV/0!</v>
      </c>
      <c r="CX155" s="75">
        <f t="shared" si="283"/>
        <v>0</v>
      </c>
      <c r="CY155" s="75"/>
      <c r="CZ155" s="75">
        <f>O155-CD155</f>
        <v>0</v>
      </c>
      <c r="DA155" s="75">
        <f>P155-CE155</f>
        <v>0</v>
      </c>
      <c r="DB155" s="75">
        <f t="shared" si="246"/>
        <v>0</v>
      </c>
      <c r="DC155" s="75">
        <f t="shared" si="263"/>
        <v>0</v>
      </c>
      <c r="DD155" s="75">
        <f t="shared" si="264"/>
        <v>0</v>
      </c>
      <c r="DE155" s="75">
        <f t="shared" si="265"/>
        <v>0</v>
      </c>
      <c r="DF155" s="75"/>
      <c r="DG155" s="75">
        <f t="shared" si="266"/>
        <v>0</v>
      </c>
      <c r="DH155" s="75">
        <f t="shared" si="267"/>
        <v>0</v>
      </c>
      <c r="DI155" s="75"/>
      <c r="DJ155" s="75">
        <f t="shared" si="268"/>
        <v>0</v>
      </c>
      <c r="DK155" s="75">
        <f t="shared" si="269"/>
        <v>0</v>
      </c>
      <c r="DL155" s="75">
        <f t="shared" si="270"/>
        <v>0</v>
      </c>
      <c r="DM155" s="75">
        <f t="shared" si="271"/>
        <v>0</v>
      </c>
      <c r="DN155" s="75">
        <f t="shared" si="272"/>
        <v>0</v>
      </c>
      <c r="DO155" s="75">
        <f t="shared" si="273"/>
        <v>0</v>
      </c>
      <c r="DP155" s="75">
        <f t="shared" si="274"/>
        <v>0</v>
      </c>
      <c r="DQ155" s="75">
        <f t="shared" si="276"/>
        <v>0</v>
      </c>
      <c r="DR155" s="75">
        <f t="shared" si="275"/>
        <v>0</v>
      </c>
    </row>
    <row r="156" spans="1:122" ht="42.75" customHeight="1" x14ac:dyDescent="0.25">
      <c r="A156" s="246"/>
      <c r="B156" s="85"/>
      <c r="C156" s="86" t="s">
        <v>89</v>
      </c>
      <c r="D156" s="81" t="s">
        <v>88</v>
      </c>
      <c r="E156" s="80">
        <v>211</v>
      </c>
      <c r="F156" s="78" t="s">
        <v>87</v>
      </c>
      <c r="G156" s="228"/>
      <c r="H156" s="79">
        <f t="shared" si="277"/>
        <v>14638234</v>
      </c>
      <c r="I156" s="79">
        <f t="shared" si="278"/>
        <v>446136880</v>
      </c>
      <c r="J156" s="78"/>
      <c r="K156" s="78"/>
      <c r="L156" s="78"/>
      <c r="M156" s="75">
        <f t="shared" si="279"/>
        <v>460775114</v>
      </c>
      <c r="N156" s="45"/>
      <c r="O156" s="75"/>
      <c r="P156" s="75"/>
      <c r="Q156" s="75">
        <v>420000000</v>
      </c>
      <c r="R156" s="75"/>
      <c r="S156" s="75"/>
      <c r="T156" s="75"/>
      <c r="U156" s="45"/>
      <c r="V156" s="45"/>
      <c r="W156" s="24"/>
      <c r="X156" s="24"/>
      <c r="Y156" s="24"/>
      <c r="Z156" s="24"/>
      <c r="AA156" s="24"/>
      <c r="AB156" s="45"/>
      <c r="AC156" s="45"/>
      <c r="AD156" s="45"/>
      <c r="AE156" s="45"/>
      <c r="AF156" s="45"/>
      <c r="AG156" s="75">
        <f>37000000+3775114</f>
        <v>40775114</v>
      </c>
      <c r="AI156" s="25">
        <f t="shared" si="241"/>
        <v>8.0299475548499352E-2</v>
      </c>
      <c r="AJ156" s="75">
        <f t="shared" si="280"/>
        <v>37000000</v>
      </c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  <c r="AY156" s="75"/>
      <c r="AZ156" s="75"/>
      <c r="BA156" s="75"/>
      <c r="BB156" s="75"/>
      <c r="BC156" s="75"/>
      <c r="BD156" s="75">
        <f>+'[8]FEBRERO 2015'!$G$196</f>
        <v>37000000</v>
      </c>
      <c r="BE156" s="25">
        <f t="shared" si="242"/>
        <v>0.91970052445150063</v>
      </c>
      <c r="BF156" s="75">
        <f t="shared" si="281"/>
        <v>423775114</v>
      </c>
      <c r="BG156" s="75">
        <f t="shared" si="247"/>
        <v>0</v>
      </c>
      <c r="BH156" s="75">
        <f t="shared" si="248"/>
        <v>0</v>
      </c>
      <c r="BI156" s="75"/>
      <c r="BJ156" s="75">
        <f t="shared" si="245"/>
        <v>420000000</v>
      </c>
      <c r="BK156" s="75">
        <f t="shared" si="249"/>
        <v>0</v>
      </c>
      <c r="BL156" s="75">
        <f t="shared" si="250"/>
        <v>0</v>
      </c>
      <c r="BM156" s="75">
        <f t="shared" si="251"/>
        <v>0</v>
      </c>
      <c r="BN156" s="75"/>
      <c r="BO156" s="75">
        <f t="shared" si="252"/>
        <v>0</v>
      </c>
      <c r="BP156" s="75">
        <f t="shared" si="253"/>
        <v>0</v>
      </c>
      <c r="BQ156" s="75">
        <f t="shared" si="254"/>
        <v>0</v>
      </c>
      <c r="BR156" s="75">
        <f t="shared" si="255"/>
        <v>0</v>
      </c>
      <c r="BS156" s="75">
        <f t="shared" si="256"/>
        <v>0</v>
      </c>
      <c r="BT156" s="75">
        <f t="shared" si="257"/>
        <v>0</v>
      </c>
      <c r="BU156" s="75">
        <f t="shared" si="258"/>
        <v>0</v>
      </c>
      <c r="BV156" s="75">
        <f t="shared" si="259"/>
        <v>0</v>
      </c>
      <c r="BW156" s="75">
        <f t="shared" si="260"/>
        <v>0</v>
      </c>
      <c r="BX156" s="75"/>
      <c r="BY156" s="75">
        <f t="shared" si="261"/>
        <v>0</v>
      </c>
      <c r="BZ156" s="75">
        <f t="shared" si="262"/>
        <v>3775114</v>
      </c>
      <c r="CA156" s="25">
        <f t="shared" si="243"/>
        <v>3.1768716571789507E-2</v>
      </c>
      <c r="CB156" s="75">
        <f t="shared" si="282"/>
        <v>14638234</v>
      </c>
      <c r="CC156" s="75"/>
      <c r="CD156" s="75"/>
      <c r="CE156" s="75"/>
      <c r="CF156" s="75"/>
      <c r="CG156" s="75"/>
      <c r="CH156" s="75"/>
      <c r="CI156" s="75"/>
      <c r="CJ156" s="75"/>
      <c r="CK156" s="75"/>
      <c r="CL156" s="75"/>
      <c r="CM156" s="75"/>
      <c r="CN156" s="75"/>
      <c r="CO156" s="75"/>
      <c r="CP156" s="75"/>
      <c r="CQ156" s="75"/>
      <c r="CR156" s="75"/>
      <c r="CS156" s="75"/>
      <c r="CT156" s="75"/>
      <c r="CU156" s="75"/>
      <c r="CV156" s="75">
        <f>+'[1]AGOSTO 2015'!$H$276</f>
        <v>14638234</v>
      </c>
      <c r="CW156" s="25">
        <f t="shared" si="244"/>
        <v>0.96823128342821052</v>
      </c>
      <c r="CX156" s="75">
        <f t="shared" si="283"/>
        <v>446136880</v>
      </c>
      <c r="CY156" s="75"/>
      <c r="CZ156" s="75"/>
      <c r="DA156" s="75"/>
      <c r="DB156" s="75">
        <f t="shared" si="246"/>
        <v>420000000</v>
      </c>
      <c r="DC156" s="75">
        <f t="shared" si="263"/>
        <v>0</v>
      </c>
      <c r="DD156" s="75">
        <f t="shared" si="264"/>
        <v>0</v>
      </c>
      <c r="DE156" s="75">
        <f t="shared" si="265"/>
        <v>0</v>
      </c>
      <c r="DF156" s="75"/>
      <c r="DG156" s="75">
        <f t="shared" si="266"/>
        <v>0</v>
      </c>
      <c r="DH156" s="75">
        <f t="shared" si="267"/>
        <v>0</v>
      </c>
      <c r="DI156" s="75"/>
      <c r="DJ156" s="75">
        <f t="shared" si="268"/>
        <v>0</v>
      </c>
      <c r="DK156" s="75">
        <f t="shared" si="269"/>
        <v>0</v>
      </c>
      <c r="DL156" s="75">
        <f t="shared" si="270"/>
        <v>0</v>
      </c>
      <c r="DM156" s="75">
        <f t="shared" si="271"/>
        <v>0</v>
      </c>
      <c r="DN156" s="75">
        <f t="shared" si="272"/>
        <v>0</v>
      </c>
      <c r="DO156" s="75">
        <f t="shared" si="273"/>
        <v>0</v>
      </c>
      <c r="DP156" s="75">
        <f t="shared" si="274"/>
        <v>0</v>
      </c>
      <c r="DQ156" s="75">
        <f t="shared" si="276"/>
        <v>0</v>
      </c>
      <c r="DR156" s="75">
        <f t="shared" si="275"/>
        <v>26136880</v>
      </c>
    </row>
    <row r="157" spans="1:122" ht="81" customHeight="1" x14ac:dyDescent="0.25">
      <c r="A157" s="246"/>
      <c r="B157" s="85"/>
      <c r="C157" s="86" t="s">
        <v>86</v>
      </c>
      <c r="D157" s="81" t="s">
        <v>85</v>
      </c>
      <c r="E157" s="80">
        <v>211</v>
      </c>
      <c r="F157" s="78" t="s">
        <v>84</v>
      </c>
      <c r="G157" s="228"/>
      <c r="H157" s="79">
        <f t="shared" si="277"/>
        <v>21204410</v>
      </c>
      <c r="I157" s="79">
        <f t="shared" si="278"/>
        <v>49210006</v>
      </c>
      <c r="J157" s="78"/>
      <c r="K157" s="78"/>
      <c r="L157" s="78"/>
      <c r="M157" s="75">
        <f t="shared" si="279"/>
        <v>70414416</v>
      </c>
      <c r="N157" s="45"/>
      <c r="O157" s="75"/>
      <c r="P157" s="75"/>
      <c r="Q157" s="75"/>
      <c r="R157" s="75"/>
      <c r="S157" s="75"/>
      <c r="T157" s="75"/>
      <c r="U157" s="45"/>
      <c r="V157" s="45"/>
      <c r="W157" s="24"/>
      <c r="X157" s="24"/>
      <c r="Y157" s="24"/>
      <c r="Z157" s="24"/>
      <c r="AA157" s="24"/>
      <c r="AB157" s="45"/>
      <c r="AC157" s="45"/>
      <c r="AD157" s="45"/>
      <c r="AE157" s="45"/>
      <c r="AF157" s="45"/>
      <c r="AG157" s="75">
        <f>6158702+2689112+21598701+428146+6000101+7556188+25983466</f>
        <v>70414416</v>
      </c>
      <c r="AI157" s="25">
        <f t="shared" si="241"/>
        <v>0.87610883544074269</v>
      </c>
      <c r="AJ157" s="75">
        <f t="shared" si="280"/>
        <v>61690692</v>
      </c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  <c r="AY157" s="75"/>
      <c r="AZ157" s="75"/>
      <c r="BA157" s="75"/>
      <c r="BB157" s="75"/>
      <c r="BC157" s="75"/>
      <c r="BD157" s="75">
        <f>+'[2]JULIO 2015'!$AD$273</f>
        <v>61690692</v>
      </c>
      <c r="BE157" s="25">
        <f t="shared" si="242"/>
        <v>0.12389116455925731</v>
      </c>
      <c r="BF157" s="75">
        <f t="shared" si="281"/>
        <v>8723724</v>
      </c>
      <c r="BG157" s="75">
        <f t="shared" si="247"/>
        <v>0</v>
      </c>
      <c r="BH157" s="75">
        <f t="shared" si="248"/>
        <v>0</v>
      </c>
      <c r="BI157" s="75"/>
      <c r="BJ157" s="75">
        <f t="shared" si="245"/>
        <v>0</v>
      </c>
      <c r="BK157" s="75">
        <f t="shared" si="249"/>
        <v>0</v>
      </c>
      <c r="BL157" s="75">
        <f t="shared" si="250"/>
        <v>0</v>
      </c>
      <c r="BM157" s="75">
        <f t="shared" si="251"/>
        <v>0</v>
      </c>
      <c r="BN157" s="75"/>
      <c r="BO157" s="75">
        <f t="shared" si="252"/>
        <v>0</v>
      </c>
      <c r="BP157" s="75">
        <f t="shared" si="253"/>
        <v>0</v>
      </c>
      <c r="BQ157" s="75">
        <f t="shared" si="254"/>
        <v>0</v>
      </c>
      <c r="BR157" s="75">
        <f t="shared" si="255"/>
        <v>0</v>
      </c>
      <c r="BS157" s="75">
        <f t="shared" si="256"/>
        <v>0</v>
      </c>
      <c r="BT157" s="75">
        <f t="shared" si="257"/>
        <v>0</v>
      </c>
      <c r="BU157" s="75">
        <f t="shared" si="258"/>
        <v>0</v>
      </c>
      <c r="BV157" s="75">
        <f t="shared" si="259"/>
        <v>0</v>
      </c>
      <c r="BW157" s="75">
        <f t="shared" si="260"/>
        <v>0</v>
      </c>
      <c r="BX157" s="75"/>
      <c r="BY157" s="75">
        <f t="shared" si="261"/>
        <v>0</v>
      </c>
      <c r="BZ157" s="75">
        <f t="shared" si="262"/>
        <v>8723724</v>
      </c>
      <c r="CA157" s="25">
        <f t="shared" si="243"/>
        <v>0.30113734096722466</v>
      </c>
      <c r="CB157" s="75">
        <f t="shared" si="282"/>
        <v>21204410</v>
      </c>
      <c r="CC157" s="75"/>
      <c r="CD157" s="75"/>
      <c r="CE157" s="75"/>
      <c r="CF157" s="75"/>
      <c r="CG157" s="75"/>
      <c r="CH157" s="75"/>
      <c r="CI157" s="75"/>
      <c r="CJ157" s="75"/>
      <c r="CK157" s="75"/>
      <c r="CL157" s="75"/>
      <c r="CM157" s="75"/>
      <c r="CN157" s="75"/>
      <c r="CO157" s="75"/>
      <c r="CP157" s="75"/>
      <c r="CQ157" s="75"/>
      <c r="CR157" s="75"/>
      <c r="CS157" s="75"/>
      <c r="CT157" s="75"/>
      <c r="CU157" s="75"/>
      <c r="CV157" s="75">
        <f>+'[1]AGOSTO 2015'!$H$284</f>
        <v>21204410</v>
      </c>
      <c r="CW157" s="25">
        <f t="shared" si="244"/>
        <v>0.69886265903277534</v>
      </c>
      <c r="CX157" s="75">
        <f t="shared" si="283"/>
        <v>49210006</v>
      </c>
      <c r="CY157" s="75"/>
      <c r="CZ157" s="75"/>
      <c r="DA157" s="75"/>
      <c r="DB157" s="75">
        <f t="shared" si="246"/>
        <v>0</v>
      </c>
      <c r="DC157" s="75">
        <f t="shared" si="263"/>
        <v>0</v>
      </c>
      <c r="DD157" s="75">
        <f t="shared" si="264"/>
        <v>0</v>
      </c>
      <c r="DE157" s="75">
        <f t="shared" si="265"/>
        <v>0</v>
      </c>
      <c r="DF157" s="75"/>
      <c r="DG157" s="75">
        <f t="shared" si="266"/>
        <v>0</v>
      </c>
      <c r="DH157" s="75">
        <f t="shared" si="267"/>
        <v>0</v>
      </c>
      <c r="DI157" s="75"/>
      <c r="DJ157" s="75">
        <f t="shared" si="268"/>
        <v>0</v>
      </c>
      <c r="DK157" s="75">
        <f t="shared" si="269"/>
        <v>0</v>
      </c>
      <c r="DL157" s="75">
        <f t="shared" si="270"/>
        <v>0</v>
      </c>
      <c r="DM157" s="75">
        <f t="shared" si="271"/>
        <v>0</v>
      </c>
      <c r="DN157" s="75">
        <f t="shared" si="272"/>
        <v>0</v>
      </c>
      <c r="DO157" s="75">
        <f t="shared" si="273"/>
        <v>0</v>
      </c>
      <c r="DP157" s="75">
        <f t="shared" si="274"/>
        <v>0</v>
      </c>
      <c r="DQ157" s="75">
        <f t="shared" si="276"/>
        <v>0</v>
      </c>
      <c r="DR157" s="75">
        <f t="shared" si="275"/>
        <v>49210006</v>
      </c>
    </row>
    <row r="158" spans="1:122" ht="23.25" customHeight="1" x14ac:dyDescent="0.25">
      <c r="A158" s="246"/>
      <c r="B158" s="85"/>
      <c r="C158" s="86" t="s">
        <v>83</v>
      </c>
      <c r="D158" s="81" t="s">
        <v>82</v>
      </c>
      <c r="E158" s="80">
        <v>211</v>
      </c>
      <c r="F158" s="78" t="s">
        <v>12</v>
      </c>
      <c r="G158" s="228"/>
      <c r="H158" s="79">
        <f t="shared" si="277"/>
        <v>0</v>
      </c>
      <c r="I158" s="79">
        <f t="shared" si="278"/>
        <v>0</v>
      </c>
      <c r="J158" s="78"/>
      <c r="K158" s="78"/>
      <c r="L158" s="78"/>
      <c r="M158" s="75">
        <f t="shared" si="279"/>
        <v>0</v>
      </c>
      <c r="N158" s="45"/>
      <c r="O158" s="75">
        <f>270014856-270014856</f>
        <v>0</v>
      </c>
      <c r="P158" s="75"/>
      <c r="Q158" s="75">
        <f>65677916-65677916</f>
        <v>0</v>
      </c>
      <c r="R158" s="75"/>
      <c r="S158" s="75"/>
      <c r="T158" s="75">
        <f>335692772-270014856-65677916</f>
        <v>0</v>
      </c>
      <c r="U158" s="45"/>
      <c r="V158" s="45"/>
      <c r="W158" s="24"/>
      <c r="X158" s="24"/>
      <c r="Y158" s="24"/>
      <c r="Z158" s="24"/>
      <c r="AA158" s="24"/>
      <c r="AB158" s="45"/>
      <c r="AC158" s="45"/>
      <c r="AD158" s="45"/>
      <c r="AE158" s="45"/>
      <c r="AF158" s="45"/>
      <c r="AG158" s="45"/>
      <c r="AI158" s="25" t="e">
        <f t="shared" si="241"/>
        <v>#DIV/0!</v>
      </c>
      <c r="AJ158" s="75">
        <f t="shared" si="280"/>
        <v>0</v>
      </c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  <c r="AY158" s="75"/>
      <c r="AZ158" s="75"/>
      <c r="BA158" s="75"/>
      <c r="BB158" s="75"/>
      <c r="BC158" s="75"/>
      <c r="BD158" s="75"/>
      <c r="BE158" s="25" t="e">
        <f t="shared" si="242"/>
        <v>#DIV/0!</v>
      </c>
      <c r="BF158" s="75">
        <f t="shared" si="281"/>
        <v>0</v>
      </c>
      <c r="BG158" s="75">
        <f t="shared" si="247"/>
        <v>0</v>
      </c>
      <c r="BH158" s="75">
        <f t="shared" si="248"/>
        <v>0</v>
      </c>
      <c r="BI158" s="75"/>
      <c r="BJ158" s="75">
        <f t="shared" si="245"/>
        <v>0</v>
      </c>
      <c r="BK158" s="75">
        <f t="shared" si="249"/>
        <v>0</v>
      </c>
      <c r="BL158" s="75">
        <f t="shared" si="250"/>
        <v>0</v>
      </c>
      <c r="BM158" s="75">
        <f t="shared" si="251"/>
        <v>0</v>
      </c>
      <c r="BN158" s="75"/>
      <c r="BO158" s="75">
        <f t="shared" si="252"/>
        <v>0</v>
      </c>
      <c r="BP158" s="75">
        <f t="shared" si="253"/>
        <v>0</v>
      </c>
      <c r="BQ158" s="75">
        <f t="shared" si="254"/>
        <v>0</v>
      </c>
      <c r="BR158" s="75">
        <f t="shared" si="255"/>
        <v>0</v>
      </c>
      <c r="BS158" s="75">
        <f t="shared" si="256"/>
        <v>0</v>
      </c>
      <c r="BT158" s="75">
        <f t="shared" si="257"/>
        <v>0</v>
      </c>
      <c r="BU158" s="75">
        <f t="shared" si="258"/>
        <v>0</v>
      </c>
      <c r="BV158" s="75">
        <f t="shared" si="259"/>
        <v>0</v>
      </c>
      <c r="BW158" s="75">
        <f t="shared" si="260"/>
        <v>0</v>
      </c>
      <c r="BX158" s="75"/>
      <c r="BY158" s="75">
        <f t="shared" si="261"/>
        <v>0</v>
      </c>
      <c r="BZ158" s="75">
        <f t="shared" si="262"/>
        <v>0</v>
      </c>
      <c r="CA158" s="25" t="e">
        <f t="shared" si="243"/>
        <v>#DIV/0!</v>
      </c>
      <c r="CB158" s="75">
        <f t="shared" si="282"/>
        <v>0</v>
      </c>
      <c r="CC158" s="75"/>
      <c r="CD158" s="75"/>
      <c r="CE158" s="75"/>
      <c r="CF158" s="75"/>
      <c r="CG158" s="75"/>
      <c r="CH158" s="75"/>
      <c r="CI158" s="75"/>
      <c r="CJ158" s="75"/>
      <c r="CK158" s="75"/>
      <c r="CL158" s="75"/>
      <c r="CM158" s="75"/>
      <c r="CN158" s="75"/>
      <c r="CO158" s="75"/>
      <c r="CP158" s="75"/>
      <c r="CQ158" s="75"/>
      <c r="CR158" s="75"/>
      <c r="CS158" s="75"/>
      <c r="CT158" s="75"/>
      <c r="CU158" s="75"/>
      <c r="CV158" s="75"/>
      <c r="CW158" s="25" t="e">
        <f t="shared" si="244"/>
        <v>#DIV/0!</v>
      </c>
      <c r="CX158" s="75">
        <f t="shared" si="283"/>
        <v>0</v>
      </c>
      <c r="CY158" s="75"/>
      <c r="CZ158" s="75">
        <f>O158-CD158</f>
        <v>0</v>
      </c>
      <c r="DA158" s="75">
        <f>P158-CE158</f>
        <v>0</v>
      </c>
      <c r="DB158" s="75">
        <f t="shared" si="246"/>
        <v>0</v>
      </c>
      <c r="DC158" s="75">
        <f t="shared" si="263"/>
        <v>0</v>
      </c>
      <c r="DD158" s="75">
        <f t="shared" si="264"/>
        <v>0</v>
      </c>
      <c r="DE158" s="75">
        <f t="shared" si="265"/>
        <v>0</v>
      </c>
      <c r="DF158" s="75"/>
      <c r="DG158" s="75">
        <f t="shared" si="266"/>
        <v>0</v>
      </c>
      <c r="DH158" s="75">
        <f t="shared" si="267"/>
        <v>0</v>
      </c>
      <c r="DI158" s="75"/>
      <c r="DJ158" s="75">
        <f t="shared" si="268"/>
        <v>0</v>
      </c>
      <c r="DK158" s="75">
        <f t="shared" si="269"/>
        <v>0</v>
      </c>
      <c r="DL158" s="75">
        <f t="shared" si="270"/>
        <v>0</v>
      </c>
      <c r="DM158" s="75">
        <f t="shared" si="271"/>
        <v>0</v>
      </c>
      <c r="DN158" s="75">
        <f t="shared" si="272"/>
        <v>0</v>
      </c>
      <c r="DO158" s="75">
        <f t="shared" si="273"/>
        <v>0</v>
      </c>
      <c r="DP158" s="75">
        <f t="shared" si="274"/>
        <v>0</v>
      </c>
      <c r="DQ158" s="75">
        <f t="shared" si="276"/>
        <v>0</v>
      </c>
      <c r="DR158" s="75">
        <f t="shared" si="275"/>
        <v>0</v>
      </c>
    </row>
    <row r="159" spans="1:122" ht="32.25" customHeight="1" x14ac:dyDescent="0.25">
      <c r="A159" s="246"/>
      <c r="B159" s="85"/>
      <c r="C159" s="86" t="s">
        <v>81</v>
      </c>
      <c r="D159" s="81" t="s">
        <v>80</v>
      </c>
      <c r="E159" s="80">
        <v>211</v>
      </c>
      <c r="F159" s="78" t="s">
        <v>12</v>
      </c>
      <c r="G159" s="228"/>
      <c r="H159" s="79">
        <f t="shared" si="277"/>
        <v>167851094</v>
      </c>
      <c r="I159" s="79">
        <f t="shared" si="278"/>
        <v>32148906</v>
      </c>
      <c r="J159" s="78"/>
      <c r="K159" s="78"/>
      <c r="L159" s="78"/>
      <c r="M159" s="75">
        <f t="shared" si="279"/>
        <v>200000000</v>
      </c>
      <c r="N159" s="45"/>
      <c r="O159" s="75"/>
      <c r="P159" s="75"/>
      <c r="Q159" s="75">
        <f>300000000-100000000</f>
        <v>200000000</v>
      </c>
      <c r="R159" s="75"/>
      <c r="S159" s="75"/>
      <c r="T159" s="75">
        <f>300000000-300000000</f>
        <v>0</v>
      </c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25">
        <f t="shared" si="241"/>
        <v>0.91226552000000005</v>
      </c>
      <c r="AJ159" s="75">
        <f t="shared" si="280"/>
        <v>182453104</v>
      </c>
      <c r="AK159" s="75"/>
      <c r="AL159" s="75"/>
      <c r="AM159" s="75"/>
      <c r="AN159" s="75">
        <f>+'[2]JULIO 2015'!$M$293</f>
        <v>182453104</v>
      </c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  <c r="BA159" s="75"/>
      <c r="BB159" s="75"/>
      <c r="BC159" s="75"/>
      <c r="BD159" s="75"/>
      <c r="BE159" s="25">
        <f t="shared" si="242"/>
        <v>8.7734479999999948E-2</v>
      </c>
      <c r="BF159" s="75">
        <f t="shared" si="281"/>
        <v>17546896</v>
      </c>
      <c r="BG159" s="75">
        <f t="shared" si="247"/>
        <v>0</v>
      </c>
      <c r="BH159" s="75">
        <f t="shared" si="248"/>
        <v>0</v>
      </c>
      <c r="BI159" s="75"/>
      <c r="BJ159" s="75">
        <f t="shared" si="245"/>
        <v>17546896</v>
      </c>
      <c r="BK159" s="75">
        <f t="shared" si="249"/>
        <v>0</v>
      </c>
      <c r="BL159" s="75">
        <f t="shared" si="250"/>
        <v>0</v>
      </c>
      <c r="BM159" s="75">
        <f t="shared" si="251"/>
        <v>0</v>
      </c>
      <c r="BN159" s="75"/>
      <c r="BO159" s="75">
        <f t="shared" si="252"/>
        <v>0</v>
      </c>
      <c r="BP159" s="75">
        <f t="shared" si="253"/>
        <v>0</v>
      </c>
      <c r="BQ159" s="75">
        <f t="shared" si="254"/>
        <v>0</v>
      </c>
      <c r="BR159" s="75">
        <f t="shared" si="255"/>
        <v>0</v>
      </c>
      <c r="BS159" s="75">
        <f t="shared" si="256"/>
        <v>0</v>
      </c>
      <c r="BT159" s="75">
        <f t="shared" si="257"/>
        <v>0</v>
      </c>
      <c r="BU159" s="75">
        <f t="shared" si="258"/>
        <v>0</v>
      </c>
      <c r="BV159" s="75">
        <f t="shared" si="259"/>
        <v>0</v>
      </c>
      <c r="BW159" s="75">
        <f t="shared" si="260"/>
        <v>0</v>
      </c>
      <c r="BX159" s="75"/>
      <c r="BY159" s="75">
        <f t="shared" si="261"/>
        <v>0</v>
      </c>
      <c r="BZ159" s="75">
        <f t="shared" si="262"/>
        <v>0</v>
      </c>
      <c r="CA159" s="25">
        <f t="shared" si="243"/>
        <v>0.83925547</v>
      </c>
      <c r="CB159" s="75">
        <f t="shared" si="282"/>
        <v>167851094</v>
      </c>
      <c r="CC159" s="75"/>
      <c r="CD159" s="75"/>
      <c r="CE159" s="75"/>
      <c r="CF159" s="75">
        <f>+'[1]AGOSTO 2015'!$H$305</f>
        <v>167851094</v>
      </c>
      <c r="CG159" s="75"/>
      <c r="CH159" s="75"/>
      <c r="CI159" s="75"/>
      <c r="CJ159" s="75"/>
      <c r="CK159" s="75"/>
      <c r="CL159" s="75"/>
      <c r="CM159" s="75"/>
      <c r="CN159" s="75"/>
      <c r="CO159" s="75"/>
      <c r="CP159" s="75"/>
      <c r="CQ159" s="75"/>
      <c r="CR159" s="75"/>
      <c r="CS159" s="75"/>
      <c r="CT159" s="75"/>
      <c r="CU159" s="75"/>
      <c r="CV159" s="75"/>
      <c r="CW159" s="25">
        <f t="shared" si="244"/>
        <v>0.16074453</v>
      </c>
      <c r="CX159" s="75">
        <f t="shared" si="283"/>
        <v>32148906</v>
      </c>
      <c r="CY159" s="75"/>
      <c r="CZ159" s="75"/>
      <c r="DA159" s="75"/>
      <c r="DB159" s="75">
        <f t="shared" si="246"/>
        <v>32148906</v>
      </c>
      <c r="DC159" s="75">
        <f t="shared" si="263"/>
        <v>0</v>
      </c>
      <c r="DD159" s="75">
        <f t="shared" si="264"/>
        <v>0</v>
      </c>
      <c r="DE159" s="75">
        <f t="shared" si="265"/>
        <v>0</v>
      </c>
      <c r="DF159" s="75"/>
      <c r="DG159" s="75">
        <f t="shared" si="266"/>
        <v>0</v>
      </c>
      <c r="DH159" s="75">
        <f t="shared" si="267"/>
        <v>0</v>
      </c>
      <c r="DI159" s="75"/>
      <c r="DJ159" s="75">
        <f t="shared" si="268"/>
        <v>0</v>
      </c>
      <c r="DK159" s="75">
        <f t="shared" si="269"/>
        <v>0</v>
      </c>
      <c r="DL159" s="75">
        <f t="shared" si="270"/>
        <v>0</v>
      </c>
      <c r="DM159" s="75">
        <f t="shared" si="271"/>
        <v>0</v>
      </c>
      <c r="DN159" s="75">
        <f t="shared" si="272"/>
        <v>0</v>
      </c>
      <c r="DO159" s="75">
        <f t="shared" si="273"/>
        <v>0</v>
      </c>
      <c r="DP159" s="75">
        <f t="shared" si="274"/>
        <v>0</v>
      </c>
      <c r="DQ159" s="75">
        <f t="shared" si="276"/>
        <v>0</v>
      </c>
      <c r="DR159" s="75">
        <f t="shared" si="275"/>
        <v>0</v>
      </c>
    </row>
    <row r="160" spans="1:122" ht="55.5" customHeight="1" x14ac:dyDescent="0.25">
      <c r="A160" s="246"/>
      <c r="B160" s="85"/>
      <c r="C160" s="86" t="s">
        <v>79</v>
      </c>
      <c r="D160" s="81" t="s">
        <v>78</v>
      </c>
      <c r="E160" s="80">
        <v>211</v>
      </c>
      <c r="F160" s="78" t="s">
        <v>77</v>
      </c>
      <c r="G160" s="228"/>
      <c r="H160" s="79">
        <f t="shared" si="277"/>
        <v>160606305</v>
      </c>
      <c r="I160" s="79">
        <f t="shared" si="278"/>
        <v>371983529</v>
      </c>
      <c r="J160" s="78"/>
      <c r="K160" s="78"/>
      <c r="L160" s="78"/>
      <c r="M160" s="75">
        <f t="shared" si="279"/>
        <v>532589834</v>
      </c>
      <c r="N160" s="45"/>
      <c r="O160" s="75"/>
      <c r="P160" s="75"/>
      <c r="Q160" s="75">
        <f>200000000+194000000-116541544+210000000</f>
        <v>487458456</v>
      </c>
      <c r="R160" s="75"/>
      <c r="S160" s="75"/>
      <c r="T160" s="75">
        <f>194000000-194000000</f>
        <v>0</v>
      </c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>
        <f>45131378</f>
        <v>45131378</v>
      </c>
      <c r="AH160" s="75"/>
      <c r="AI160" s="25">
        <f t="shared" si="241"/>
        <v>0.57725453693132267</v>
      </c>
      <c r="AJ160" s="75">
        <f t="shared" si="280"/>
        <v>307439898</v>
      </c>
      <c r="AK160" s="75"/>
      <c r="AL160" s="75"/>
      <c r="AM160" s="75"/>
      <c r="AN160" s="75">
        <f>+'[1]AGOSTO 2015'!$M$321</f>
        <v>262308520</v>
      </c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>
        <f>+'[2]JULIO 2015'!$AD$306</f>
        <v>45131378</v>
      </c>
      <c r="BE160" s="25">
        <f t="shared" si="242"/>
        <v>0.42274546306867733</v>
      </c>
      <c r="BF160" s="75">
        <f t="shared" si="281"/>
        <v>225149936</v>
      </c>
      <c r="BG160" s="75">
        <f t="shared" si="247"/>
        <v>0</v>
      </c>
      <c r="BH160" s="75">
        <f t="shared" si="248"/>
        <v>0</v>
      </c>
      <c r="BI160" s="75"/>
      <c r="BJ160" s="75">
        <f t="shared" si="245"/>
        <v>225149936</v>
      </c>
      <c r="BK160" s="75">
        <f t="shared" si="249"/>
        <v>0</v>
      </c>
      <c r="BL160" s="75">
        <f t="shared" si="250"/>
        <v>0</v>
      </c>
      <c r="BM160" s="75">
        <f t="shared" si="251"/>
        <v>0</v>
      </c>
      <c r="BN160" s="75"/>
      <c r="BO160" s="75">
        <f t="shared" si="252"/>
        <v>0</v>
      </c>
      <c r="BP160" s="75">
        <f t="shared" si="253"/>
        <v>0</v>
      </c>
      <c r="BQ160" s="75">
        <f t="shared" si="254"/>
        <v>0</v>
      </c>
      <c r="BR160" s="75">
        <f t="shared" si="255"/>
        <v>0</v>
      </c>
      <c r="BS160" s="75">
        <f t="shared" si="256"/>
        <v>0</v>
      </c>
      <c r="BT160" s="75">
        <f t="shared" si="257"/>
        <v>0</v>
      </c>
      <c r="BU160" s="75">
        <f t="shared" si="258"/>
        <v>0</v>
      </c>
      <c r="BV160" s="75">
        <f t="shared" si="259"/>
        <v>0</v>
      </c>
      <c r="BW160" s="75">
        <f t="shared" si="260"/>
        <v>0</v>
      </c>
      <c r="BX160" s="75"/>
      <c r="BY160" s="75">
        <f t="shared" si="261"/>
        <v>0</v>
      </c>
      <c r="BZ160" s="75">
        <f t="shared" si="262"/>
        <v>0</v>
      </c>
      <c r="CA160" s="25">
        <f t="shared" si="243"/>
        <v>0.30155721109764932</v>
      </c>
      <c r="CB160" s="75">
        <f t="shared" si="282"/>
        <v>160606305</v>
      </c>
      <c r="CC160" s="75"/>
      <c r="CD160" s="75"/>
      <c r="CE160" s="75"/>
      <c r="CF160" s="75">
        <f>+'[1]AGOSTO 2015'!$H$322+'[1]AGOSTO 2015'!$H$328+'[1]AGOSTO 2015'!$H$330+'[1]AGOSTO 2015'!$H$335</f>
        <v>149011305</v>
      </c>
      <c r="CG160" s="75"/>
      <c r="CH160" s="75"/>
      <c r="CI160" s="75"/>
      <c r="CJ160" s="75"/>
      <c r="CK160" s="75"/>
      <c r="CL160" s="75"/>
      <c r="CM160" s="75"/>
      <c r="CN160" s="75"/>
      <c r="CO160" s="75"/>
      <c r="CP160" s="75"/>
      <c r="CQ160" s="75"/>
      <c r="CR160" s="75"/>
      <c r="CS160" s="75"/>
      <c r="CT160" s="75"/>
      <c r="CU160" s="75"/>
      <c r="CV160" s="75">
        <f>+'[1]AGOSTO 2015'!$H$325+'[1]AGOSTO 2015'!$H$333</f>
        <v>11595000</v>
      </c>
      <c r="CW160" s="25">
        <f t="shared" si="244"/>
        <v>0.69844278890235068</v>
      </c>
      <c r="CX160" s="75">
        <f t="shared" si="283"/>
        <v>371983529</v>
      </c>
      <c r="CY160" s="75"/>
      <c r="CZ160" s="75"/>
      <c r="DA160" s="75"/>
      <c r="DB160" s="75">
        <f t="shared" si="246"/>
        <v>338447151</v>
      </c>
      <c r="DC160" s="75">
        <f t="shared" si="263"/>
        <v>0</v>
      </c>
      <c r="DD160" s="75">
        <f t="shared" si="264"/>
        <v>0</v>
      </c>
      <c r="DE160" s="75">
        <f t="shared" si="265"/>
        <v>0</v>
      </c>
      <c r="DF160" s="75"/>
      <c r="DG160" s="75">
        <f t="shared" si="266"/>
        <v>0</v>
      </c>
      <c r="DH160" s="75">
        <f t="shared" si="267"/>
        <v>0</v>
      </c>
      <c r="DI160" s="75"/>
      <c r="DJ160" s="75">
        <f t="shared" si="268"/>
        <v>0</v>
      </c>
      <c r="DK160" s="75">
        <f t="shared" si="269"/>
        <v>0</v>
      </c>
      <c r="DL160" s="75">
        <f t="shared" si="270"/>
        <v>0</v>
      </c>
      <c r="DM160" s="75">
        <f t="shared" si="271"/>
        <v>0</v>
      </c>
      <c r="DN160" s="75">
        <f t="shared" si="272"/>
        <v>0</v>
      </c>
      <c r="DO160" s="75">
        <f t="shared" si="273"/>
        <v>0</v>
      </c>
      <c r="DP160" s="75">
        <f t="shared" si="274"/>
        <v>0</v>
      </c>
      <c r="DQ160" s="75">
        <f t="shared" si="276"/>
        <v>0</v>
      </c>
      <c r="DR160" s="75">
        <f t="shared" si="275"/>
        <v>33536378</v>
      </c>
    </row>
    <row r="161" spans="1:122" ht="36" customHeight="1" x14ac:dyDescent="0.25">
      <c r="A161" s="246"/>
      <c r="B161" s="85"/>
      <c r="C161" s="86" t="s">
        <v>76</v>
      </c>
      <c r="D161" s="81" t="s">
        <v>75</v>
      </c>
      <c r="E161" s="80">
        <v>211</v>
      </c>
      <c r="F161" s="78" t="s">
        <v>74</v>
      </c>
      <c r="G161" s="228"/>
      <c r="H161" s="79">
        <f t="shared" si="277"/>
        <v>3525240</v>
      </c>
      <c r="I161" s="79">
        <f t="shared" si="278"/>
        <v>4474760</v>
      </c>
      <c r="J161" s="78"/>
      <c r="K161" s="78"/>
      <c r="L161" s="78"/>
      <c r="M161" s="75">
        <f t="shared" si="279"/>
        <v>8000000</v>
      </c>
      <c r="N161" s="4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>
        <f>6000000+2000000</f>
        <v>8000000</v>
      </c>
      <c r="AH161" s="75"/>
      <c r="AI161" s="25">
        <f t="shared" si="241"/>
        <v>0.44065500000000002</v>
      </c>
      <c r="AJ161" s="75">
        <f t="shared" si="280"/>
        <v>3525240</v>
      </c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>
        <f>+'[1]AGOSTO 2015'!$AD$339</f>
        <v>3525240</v>
      </c>
      <c r="BE161" s="25">
        <f t="shared" si="242"/>
        <v>0.55934499999999998</v>
      </c>
      <c r="BF161" s="75">
        <f t="shared" si="281"/>
        <v>4474760</v>
      </c>
      <c r="BG161" s="75">
        <f t="shared" si="247"/>
        <v>0</v>
      </c>
      <c r="BH161" s="75">
        <f t="shared" si="248"/>
        <v>0</v>
      </c>
      <c r="BI161" s="75"/>
      <c r="BJ161" s="75">
        <f t="shared" si="245"/>
        <v>0</v>
      </c>
      <c r="BK161" s="75">
        <f t="shared" si="249"/>
        <v>0</v>
      </c>
      <c r="BL161" s="75">
        <f t="shared" si="250"/>
        <v>0</v>
      </c>
      <c r="BM161" s="75">
        <f t="shared" si="251"/>
        <v>0</v>
      </c>
      <c r="BN161" s="75"/>
      <c r="BO161" s="75">
        <f t="shared" si="252"/>
        <v>0</v>
      </c>
      <c r="BP161" s="75">
        <f t="shared" si="253"/>
        <v>0</v>
      </c>
      <c r="BQ161" s="75">
        <f t="shared" si="254"/>
        <v>0</v>
      </c>
      <c r="BR161" s="75">
        <f t="shared" si="255"/>
        <v>0</v>
      </c>
      <c r="BS161" s="75">
        <f t="shared" si="256"/>
        <v>0</v>
      </c>
      <c r="BT161" s="75">
        <f t="shared" si="257"/>
        <v>0</v>
      </c>
      <c r="BU161" s="75">
        <f t="shared" si="258"/>
        <v>0</v>
      </c>
      <c r="BV161" s="75">
        <f t="shared" si="259"/>
        <v>0</v>
      </c>
      <c r="BW161" s="75">
        <f t="shared" si="260"/>
        <v>0</v>
      </c>
      <c r="BX161" s="75"/>
      <c r="BY161" s="75">
        <f t="shared" si="261"/>
        <v>0</v>
      </c>
      <c r="BZ161" s="75">
        <f t="shared" si="262"/>
        <v>4474760</v>
      </c>
      <c r="CA161" s="25">
        <f t="shared" si="243"/>
        <v>0.44065500000000002</v>
      </c>
      <c r="CB161" s="75">
        <f t="shared" si="282"/>
        <v>3525240</v>
      </c>
      <c r="CC161" s="75"/>
      <c r="CD161" s="75"/>
      <c r="CE161" s="75"/>
      <c r="CF161" s="75"/>
      <c r="CG161" s="75"/>
      <c r="CH161" s="75"/>
      <c r="CI161" s="75"/>
      <c r="CJ161" s="75"/>
      <c r="CK161" s="75"/>
      <c r="CL161" s="75"/>
      <c r="CM161" s="75"/>
      <c r="CN161" s="75"/>
      <c r="CO161" s="75"/>
      <c r="CP161" s="75"/>
      <c r="CQ161" s="75"/>
      <c r="CR161" s="75"/>
      <c r="CS161" s="75"/>
      <c r="CT161" s="75"/>
      <c r="CU161" s="75"/>
      <c r="CV161" s="75">
        <f>+'[5]FEBRERO 2015'!$H$228</f>
        <v>3525240</v>
      </c>
      <c r="CW161" s="25">
        <f t="shared" si="244"/>
        <v>0.55934499999999998</v>
      </c>
      <c r="CX161" s="75">
        <f t="shared" si="283"/>
        <v>4474760</v>
      </c>
      <c r="CY161" s="75"/>
      <c r="CZ161" s="75"/>
      <c r="DA161" s="75"/>
      <c r="DB161" s="75">
        <f t="shared" si="246"/>
        <v>0</v>
      </c>
      <c r="DC161" s="75">
        <f t="shared" si="263"/>
        <v>0</v>
      </c>
      <c r="DD161" s="75">
        <f t="shared" si="264"/>
        <v>0</v>
      </c>
      <c r="DE161" s="75">
        <f t="shared" si="265"/>
        <v>0</v>
      </c>
      <c r="DF161" s="75"/>
      <c r="DG161" s="75">
        <f t="shared" si="266"/>
        <v>0</v>
      </c>
      <c r="DH161" s="75">
        <f t="shared" si="267"/>
        <v>0</v>
      </c>
      <c r="DI161" s="75"/>
      <c r="DJ161" s="75">
        <f t="shared" si="268"/>
        <v>0</v>
      </c>
      <c r="DK161" s="75">
        <f t="shared" si="269"/>
        <v>0</v>
      </c>
      <c r="DL161" s="75">
        <f t="shared" si="270"/>
        <v>0</v>
      </c>
      <c r="DM161" s="75">
        <f t="shared" si="271"/>
        <v>0</v>
      </c>
      <c r="DN161" s="75">
        <f t="shared" si="272"/>
        <v>0</v>
      </c>
      <c r="DO161" s="75">
        <f t="shared" si="273"/>
        <v>0</v>
      </c>
      <c r="DP161" s="75">
        <f t="shared" si="274"/>
        <v>0</v>
      </c>
      <c r="DQ161" s="75">
        <f t="shared" si="276"/>
        <v>0</v>
      </c>
      <c r="DR161" s="75">
        <f t="shared" si="275"/>
        <v>4474760</v>
      </c>
    </row>
    <row r="162" spans="1:122" ht="29.25" customHeight="1" x14ac:dyDescent="0.25">
      <c r="A162" s="246"/>
      <c r="B162" s="85"/>
      <c r="C162" s="86" t="s">
        <v>73</v>
      </c>
      <c r="D162" s="81" t="s">
        <v>72</v>
      </c>
      <c r="E162" s="80">
        <v>211</v>
      </c>
      <c r="F162" s="78" t="s">
        <v>12</v>
      </c>
      <c r="G162" s="228"/>
      <c r="H162" s="79">
        <f t="shared" si="277"/>
        <v>216712707</v>
      </c>
      <c r="I162" s="79">
        <f t="shared" si="278"/>
        <v>98817745</v>
      </c>
      <c r="J162" s="78"/>
      <c r="K162" s="78"/>
      <c r="L162" s="78"/>
      <c r="M162" s="75">
        <f t="shared" si="279"/>
        <v>315530452</v>
      </c>
      <c r="N162" s="45"/>
      <c r="O162" s="45"/>
      <c r="P162" s="45"/>
      <c r="Q162" s="75">
        <v>80000000</v>
      </c>
      <c r="R162" s="45"/>
      <c r="S162" s="75">
        <v>210000000</v>
      </c>
      <c r="T162" s="75"/>
      <c r="U162" s="75"/>
      <c r="V162" s="75"/>
      <c r="W162" s="75"/>
      <c r="X162" s="75"/>
      <c r="Y162" s="75"/>
      <c r="Z162" s="75"/>
      <c r="AA162" s="75"/>
      <c r="AB162" s="75"/>
      <c r="AC162" s="75">
        <v>25530452</v>
      </c>
      <c r="AD162" s="75"/>
      <c r="AE162" s="75"/>
      <c r="AF162" s="75"/>
      <c r="AG162" s="75"/>
      <c r="AH162" s="75"/>
      <c r="AI162" s="25">
        <f t="shared" si="241"/>
        <v>0.74645870313652007</v>
      </c>
      <c r="AJ162" s="75">
        <f t="shared" si="280"/>
        <v>235530452</v>
      </c>
      <c r="AK162" s="75"/>
      <c r="AL162" s="75"/>
      <c r="AM162" s="75"/>
      <c r="AN162" s="75"/>
      <c r="AO162" s="75"/>
      <c r="AP162" s="75">
        <f>+'[6]JUNIO 2015'!$O$297</f>
        <v>210000000</v>
      </c>
      <c r="AQ162" s="75"/>
      <c r="AR162" s="75"/>
      <c r="AS162" s="75"/>
      <c r="AT162" s="75"/>
      <c r="AU162" s="75"/>
      <c r="AV162" s="75"/>
      <c r="AW162" s="75"/>
      <c r="AX162" s="75"/>
      <c r="AY162" s="75"/>
      <c r="AZ162" s="75">
        <f>+'[6]JUNIO 2015'!$Y$297</f>
        <v>25530452</v>
      </c>
      <c r="BA162" s="75"/>
      <c r="BB162" s="75"/>
      <c r="BC162" s="75"/>
      <c r="BD162" s="75"/>
      <c r="BE162" s="25">
        <f t="shared" si="242"/>
        <v>0.25354129686347993</v>
      </c>
      <c r="BF162" s="75">
        <f t="shared" si="281"/>
        <v>80000000</v>
      </c>
      <c r="BG162" s="75">
        <f t="shared" si="247"/>
        <v>0</v>
      </c>
      <c r="BH162" s="75">
        <f t="shared" si="248"/>
        <v>0</v>
      </c>
      <c r="BI162" s="75"/>
      <c r="BJ162" s="75">
        <f t="shared" si="245"/>
        <v>80000000</v>
      </c>
      <c r="BK162" s="75">
        <f t="shared" si="249"/>
        <v>0</v>
      </c>
      <c r="BL162" s="75">
        <f t="shared" si="250"/>
        <v>0</v>
      </c>
      <c r="BM162" s="75">
        <f t="shared" si="251"/>
        <v>0</v>
      </c>
      <c r="BN162" s="75"/>
      <c r="BO162" s="75">
        <f t="shared" si="252"/>
        <v>0</v>
      </c>
      <c r="BP162" s="75">
        <f t="shared" si="253"/>
        <v>0</v>
      </c>
      <c r="BQ162" s="75">
        <f t="shared" si="254"/>
        <v>0</v>
      </c>
      <c r="BR162" s="75">
        <f t="shared" si="255"/>
        <v>0</v>
      </c>
      <c r="BS162" s="75">
        <f t="shared" si="256"/>
        <v>0</v>
      </c>
      <c r="BT162" s="75">
        <f t="shared" si="257"/>
        <v>0</v>
      </c>
      <c r="BU162" s="75">
        <f t="shared" si="258"/>
        <v>0</v>
      </c>
      <c r="BV162" s="75">
        <f t="shared" si="259"/>
        <v>0</v>
      </c>
      <c r="BW162" s="75">
        <f t="shared" si="260"/>
        <v>0</v>
      </c>
      <c r="BX162" s="75"/>
      <c r="BY162" s="75">
        <f t="shared" si="261"/>
        <v>0</v>
      </c>
      <c r="BZ162" s="75">
        <f t="shared" si="262"/>
        <v>0</v>
      </c>
      <c r="CA162" s="25">
        <f t="shared" si="243"/>
        <v>0.68682025974469174</v>
      </c>
      <c r="CB162" s="75">
        <f t="shared" si="282"/>
        <v>216712707</v>
      </c>
      <c r="CC162" s="75"/>
      <c r="CD162" s="75"/>
      <c r="CE162" s="75"/>
      <c r="CF162" s="75"/>
      <c r="CG162" s="75"/>
      <c r="CH162" s="75">
        <f>+'[2]JULIO 2015'!$H$332+'[2]JULIO 2015'!$H$347</f>
        <v>208736238</v>
      </c>
      <c r="CI162" s="75"/>
      <c r="CJ162" s="75"/>
      <c r="CK162" s="75"/>
      <c r="CL162" s="75"/>
      <c r="CM162" s="75"/>
      <c r="CN162" s="75"/>
      <c r="CO162" s="75"/>
      <c r="CP162" s="75"/>
      <c r="CQ162" s="75"/>
      <c r="CR162" s="75">
        <f>+'[2]JULIO 2015'!$H$358</f>
        <v>7976469</v>
      </c>
      <c r="CS162" s="75"/>
      <c r="CT162" s="75"/>
      <c r="CU162" s="75"/>
      <c r="CV162" s="75"/>
      <c r="CW162" s="25">
        <f t="shared" si="244"/>
        <v>0.31317974025530826</v>
      </c>
      <c r="CX162" s="75">
        <f t="shared" si="283"/>
        <v>98817745</v>
      </c>
      <c r="CY162" s="75"/>
      <c r="CZ162" s="75"/>
      <c r="DA162" s="75"/>
      <c r="DB162" s="75">
        <f t="shared" si="246"/>
        <v>80000000</v>
      </c>
      <c r="DC162" s="75">
        <f t="shared" si="263"/>
        <v>0</v>
      </c>
      <c r="DD162" s="75">
        <f t="shared" si="264"/>
        <v>1263762</v>
      </c>
      <c r="DE162" s="75">
        <f t="shared" si="265"/>
        <v>0</v>
      </c>
      <c r="DF162" s="75"/>
      <c r="DG162" s="75">
        <f t="shared" si="266"/>
        <v>0</v>
      </c>
      <c r="DH162" s="75">
        <f t="shared" si="267"/>
        <v>0</v>
      </c>
      <c r="DI162" s="75"/>
      <c r="DJ162" s="75">
        <f t="shared" si="268"/>
        <v>0</v>
      </c>
      <c r="DK162" s="75">
        <f t="shared" si="269"/>
        <v>0</v>
      </c>
      <c r="DL162" s="75">
        <f t="shared" si="270"/>
        <v>0</v>
      </c>
      <c r="DM162" s="75">
        <f t="shared" si="271"/>
        <v>0</v>
      </c>
      <c r="DN162" s="75">
        <f t="shared" si="272"/>
        <v>17553983</v>
      </c>
      <c r="DO162" s="75">
        <f t="shared" si="273"/>
        <v>0</v>
      </c>
      <c r="DP162" s="75">
        <f t="shared" si="274"/>
        <v>0</v>
      </c>
      <c r="DQ162" s="75">
        <f t="shared" si="276"/>
        <v>0</v>
      </c>
      <c r="DR162" s="75">
        <f t="shared" si="275"/>
        <v>0</v>
      </c>
    </row>
    <row r="163" spans="1:122" ht="35.25" customHeight="1" x14ac:dyDescent="0.25">
      <c r="A163" s="246"/>
      <c r="B163" s="85"/>
      <c r="C163" s="86" t="s">
        <v>71</v>
      </c>
      <c r="D163" s="81" t="s">
        <v>70</v>
      </c>
      <c r="E163" s="80">
        <v>211</v>
      </c>
      <c r="F163" s="78" t="s">
        <v>69</v>
      </c>
      <c r="G163" s="228"/>
      <c r="H163" s="79">
        <f t="shared" si="277"/>
        <v>0</v>
      </c>
      <c r="I163" s="79">
        <f t="shared" si="278"/>
        <v>5000000</v>
      </c>
      <c r="J163" s="78"/>
      <c r="K163" s="78"/>
      <c r="L163" s="78"/>
      <c r="M163" s="75">
        <f t="shared" si="279"/>
        <v>5000000</v>
      </c>
      <c r="N163" s="45"/>
      <c r="O163" s="45"/>
      <c r="P163" s="45"/>
      <c r="Q163" s="45">
        <f>97849888-97849888</f>
        <v>0</v>
      </c>
      <c r="R163" s="45"/>
      <c r="S163" s="75"/>
      <c r="T163" s="75">
        <f>97849888-97849888</f>
        <v>0</v>
      </c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>
        <f>5000000</f>
        <v>5000000</v>
      </c>
      <c r="AH163" s="75"/>
      <c r="AI163" s="25">
        <f t="shared" si="241"/>
        <v>1</v>
      </c>
      <c r="AJ163" s="75">
        <f t="shared" si="280"/>
        <v>5000000</v>
      </c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>
        <f>+'[2]JULIO 2015'!$AD$363</f>
        <v>5000000</v>
      </c>
      <c r="BE163" s="25">
        <f t="shared" si="242"/>
        <v>0</v>
      </c>
      <c r="BF163" s="75">
        <f t="shared" si="281"/>
        <v>0</v>
      </c>
      <c r="BG163" s="75">
        <f t="shared" si="247"/>
        <v>0</v>
      </c>
      <c r="BH163" s="75">
        <f t="shared" si="248"/>
        <v>0</v>
      </c>
      <c r="BI163" s="75"/>
      <c r="BJ163" s="75">
        <f t="shared" si="245"/>
        <v>0</v>
      </c>
      <c r="BK163" s="75">
        <f t="shared" si="249"/>
        <v>0</v>
      </c>
      <c r="BL163" s="75">
        <f t="shared" si="250"/>
        <v>0</v>
      </c>
      <c r="BM163" s="75">
        <f t="shared" si="251"/>
        <v>0</v>
      </c>
      <c r="BN163" s="75"/>
      <c r="BO163" s="75">
        <f t="shared" si="252"/>
        <v>0</v>
      </c>
      <c r="BP163" s="75">
        <f t="shared" si="253"/>
        <v>0</v>
      </c>
      <c r="BQ163" s="75">
        <f t="shared" si="254"/>
        <v>0</v>
      </c>
      <c r="BR163" s="75">
        <f t="shared" si="255"/>
        <v>0</v>
      </c>
      <c r="BS163" s="75">
        <f t="shared" si="256"/>
        <v>0</v>
      </c>
      <c r="BT163" s="75">
        <f t="shared" si="257"/>
        <v>0</v>
      </c>
      <c r="BU163" s="75">
        <f t="shared" si="258"/>
        <v>0</v>
      </c>
      <c r="BV163" s="75">
        <f t="shared" si="259"/>
        <v>0</v>
      </c>
      <c r="BW163" s="75">
        <f t="shared" si="260"/>
        <v>0</v>
      </c>
      <c r="BX163" s="75"/>
      <c r="BY163" s="75">
        <f t="shared" si="261"/>
        <v>0</v>
      </c>
      <c r="BZ163" s="75">
        <f t="shared" si="262"/>
        <v>0</v>
      </c>
      <c r="CA163" s="25">
        <f t="shared" si="243"/>
        <v>0</v>
      </c>
      <c r="CB163" s="75">
        <f t="shared" si="282"/>
        <v>0</v>
      </c>
      <c r="CC163" s="75"/>
      <c r="CD163" s="75"/>
      <c r="CE163" s="75"/>
      <c r="CF163" s="75"/>
      <c r="CG163" s="75"/>
      <c r="CH163" s="75"/>
      <c r="CI163" s="75"/>
      <c r="CJ163" s="75"/>
      <c r="CK163" s="75"/>
      <c r="CL163" s="75"/>
      <c r="CM163" s="75"/>
      <c r="CN163" s="75"/>
      <c r="CO163" s="75"/>
      <c r="CP163" s="75"/>
      <c r="CQ163" s="75"/>
      <c r="CR163" s="75"/>
      <c r="CS163" s="75"/>
      <c r="CT163" s="75"/>
      <c r="CU163" s="75"/>
      <c r="CV163" s="75"/>
      <c r="CW163" s="25">
        <f t="shared" si="244"/>
        <v>1</v>
      </c>
      <c r="CX163" s="75">
        <f t="shared" si="283"/>
        <v>5000000</v>
      </c>
      <c r="CY163" s="75"/>
      <c r="CZ163" s="75"/>
      <c r="DA163" s="75"/>
      <c r="DB163" s="75">
        <f t="shared" si="246"/>
        <v>0</v>
      </c>
      <c r="DC163" s="75">
        <f t="shared" si="263"/>
        <v>0</v>
      </c>
      <c r="DD163" s="75">
        <f t="shared" si="264"/>
        <v>0</v>
      </c>
      <c r="DE163" s="75">
        <f t="shared" si="265"/>
        <v>0</v>
      </c>
      <c r="DF163" s="75"/>
      <c r="DG163" s="75">
        <f t="shared" si="266"/>
        <v>0</v>
      </c>
      <c r="DH163" s="75">
        <f t="shared" si="267"/>
        <v>0</v>
      </c>
      <c r="DI163" s="75"/>
      <c r="DJ163" s="75">
        <f t="shared" si="268"/>
        <v>0</v>
      </c>
      <c r="DK163" s="75">
        <f t="shared" si="269"/>
        <v>0</v>
      </c>
      <c r="DL163" s="75">
        <f t="shared" si="270"/>
        <v>0</v>
      </c>
      <c r="DM163" s="75">
        <f t="shared" si="271"/>
        <v>0</v>
      </c>
      <c r="DN163" s="75">
        <f t="shared" si="272"/>
        <v>0</v>
      </c>
      <c r="DO163" s="75">
        <f t="shared" si="273"/>
        <v>0</v>
      </c>
      <c r="DP163" s="75">
        <f t="shared" si="274"/>
        <v>0</v>
      </c>
      <c r="DQ163" s="75">
        <f t="shared" si="276"/>
        <v>0</v>
      </c>
      <c r="DR163" s="75">
        <f t="shared" si="275"/>
        <v>5000000</v>
      </c>
    </row>
    <row r="164" spans="1:122" ht="51.75" customHeight="1" x14ac:dyDescent="0.25">
      <c r="A164" s="246"/>
      <c r="B164" s="85"/>
      <c r="C164" s="86" t="s">
        <v>68</v>
      </c>
      <c r="D164" s="81" t="s">
        <v>67</v>
      </c>
      <c r="E164" s="80">
        <v>211</v>
      </c>
      <c r="F164" s="78" t="s">
        <v>66</v>
      </c>
      <c r="G164" s="228"/>
      <c r="H164" s="79">
        <f t="shared" si="277"/>
        <v>12240044</v>
      </c>
      <c r="I164" s="79">
        <f t="shared" si="278"/>
        <v>28910068</v>
      </c>
      <c r="J164" s="78"/>
      <c r="K164" s="78"/>
      <c r="L164" s="78"/>
      <c r="M164" s="75">
        <f t="shared" si="279"/>
        <v>41150112</v>
      </c>
      <c r="N164" s="4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>
        <f>8134775+1015337+11000000+21000000</f>
        <v>41150112</v>
      </c>
      <c r="AH164" s="75"/>
      <c r="AI164" s="25">
        <f t="shared" si="241"/>
        <v>0.56256315900185161</v>
      </c>
      <c r="AJ164" s="75">
        <f t="shared" si="280"/>
        <v>23149537</v>
      </c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>
        <f>+'[2]JULIO 2015'!$AD$368</f>
        <v>23149537</v>
      </c>
      <c r="BE164" s="25">
        <f t="shared" si="242"/>
        <v>0.43743684099814839</v>
      </c>
      <c r="BF164" s="75">
        <f t="shared" si="281"/>
        <v>18000575</v>
      </c>
      <c r="BG164" s="75">
        <f t="shared" si="247"/>
        <v>0</v>
      </c>
      <c r="BH164" s="75">
        <f t="shared" si="248"/>
        <v>0</v>
      </c>
      <c r="BI164" s="75"/>
      <c r="BJ164" s="75">
        <f t="shared" si="245"/>
        <v>0</v>
      </c>
      <c r="BK164" s="75">
        <f t="shared" si="249"/>
        <v>0</v>
      </c>
      <c r="BL164" s="75">
        <f t="shared" si="250"/>
        <v>0</v>
      </c>
      <c r="BM164" s="75">
        <f t="shared" si="251"/>
        <v>0</v>
      </c>
      <c r="BN164" s="75"/>
      <c r="BO164" s="75">
        <f t="shared" si="252"/>
        <v>0</v>
      </c>
      <c r="BP164" s="75">
        <f t="shared" si="253"/>
        <v>0</v>
      </c>
      <c r="BQ164" s="75">
        <f t="shared" si="254"/>
        <v>0</v>
      </c>
      <c r="BR164" s="75">
        <f t="shared" si="255"/>
        <v>0</v>
      </c>
      <c r="BS164" s="75">
        <f t="shared" si="256"/>
        <v>0</v>
      </c>
      <c r="BT164" s="75">
        <f t="shared" si="257"/>
        <v>0</v>
      </c>
      <c r="BU164" s="75">
        <f t="shared" si="258"/>
        <v>0</v>
      </c>
      <c r="BV164" s="75">
        <f t="shared" si="259"/>
        <v>0</v>
      </c>
      <c r="BW164" s="75">
        <f t="shared" si="260"/>
        <v>0</v>
      </c>
      <c r="BX164" s="75"/>
      <c r="BY164" s="75">
        <f t="shared" si="261"/>
        <v>0</v>
      </c>
      <c r="BZ164" s="75">
        <f t="shared" si="262"/>
        <v>18000575</v>
      </c>
      <c r="CA164" s="25">
        <f t="shared" si="243"/>
        <v>0.29744861933790118</v>
      </c>
      <c r="CB164" s="75">
        <f t="shared" si="282"/>
        <v>12240044</v>
      </c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>
        <f>+'[1]AGOSTO 2015'!$H$383</f>
        <v>12240044</v>
      </c>
      <c r="CW164" s="25">
        <f t="shared" si="244"/>
        <v>0.70255138066209888</v>
      </c>
      <c r="CX164" s="75">
        <f t="shared" si="283"/>
        <v>28910068</v>
      </c>
      <c r="CY164" s="75"/>
      <c r="CZ164" s="75"/>
      <c r="DA164" s="75"/>
      <c r="DB164" s="75">
        <f t="shared" si="246"/>
        <v>0</v>
      </c>
      <c r="DC164" s="75">
        <f t="shared" si="263"/>
        <v>0</v>
      </c>
      <c r="DD164" s="75">
        <f t="shared" si="264"/>
        <v>0</v>
      </c>
      <c r="DE164" s="75">
        <f t="shared" si="265"/>
        <v>0</v>
      </c>
      <c r="DF164" s="75"/>
      <c r="DG164" s="75">
        <f t="shared" si="266"/>
        <v>0</v>
      </c>
      <c r="DH164" s="75">
        <f t="shared" si="267"/>
        <v>0</v>
      </c>
      <c r="DI164" s="75"/>
      <c r="DJ164" s="75">
        <f t="shared" si="268"/>
        <v>0</v>
      </c>
      <c r="DK164" s="75">
        <f t="shared" si="269"/>
        <v>0</v>
      </c>
      <c r="DL164" s="75">
        <f t="shared" si="270"/>
        <v>0</v>
      </c>
      <c r="DM164" s="75">
        <f t="shared" si="271"/>
        <v>0</v>
      </c>
      <c r="DN164" s="75">
        <f t="shared" si="272"/>
        <v>0</v>
      </c>
      <c r="DO164" s="75">
        <f t="shared" si="273"/>
        <v>0</v>
      </c>
      <c r="DP164" s="75">
        <f t="shared" si="274"/>
        <v>0</v>
      </c>
      <c r="DQ164" s="75">
        <f t="shared" si="276"/>
        <v>0</v>
      </c>
      <c r="DR164" s="75">
        <f t="shared" si="275"/>
        <v>28910068</v>
      </c>
    </row>
    <row r="165" spans="1:122" ht="36.75" customHeight="1" x14ac:dyDescent="0.25">
      <c r="A165" s="246"/>
      <c r="B165" s="85"/>
      <c r="C165" s="86" t="s">
        <v>65</v>
      </c>
      <c r="D165" s="81" t="s">
        <v>64</v>
      </c>
      <c r="E165" s="80">
        <v>211</v>
      </c>
      <c r="F165" s="78" t="s">
        <v>12</v>
      </c>
      <c r="G165" s="228"/>
      <c r="H165" s="79">
        <f t="shared" si="277"/>
        <v>0</v>
      </c>
      <c r="I165" s="79">
        <f t="shared" si="278"/>
        <v>92524043</v>
      </c>
      <c r="J165" s="78"/>
      <c r="K165" s="78"/>
      <c r="L165" s="78"/>
      <c r="M165" s="75">
        <f t="shared" si="279"/>
        <v>92524043</v>
      </c>
      <c r="N165" s="4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>
        <v>92524043</v>
      </c>
      <c r="AG165" s="75"/>
      <c r="AH165" s="75"/>
      <c r="AI165" s="25">
        <f t="shared" si="241"/>
        <v>1</v>
      </c>
      <c r="AJ165" s="75">
        <f t="shared" si="280"/>
        <v>92524043</v>
      </c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>
        <f>+'[1]AGOSTO 2015'!$AC$401</f>
        <v>92524043</v>
      </c>
      <c r="BD165" s="75"/>
      <c r="BE165" s="25">
        <f t="shared" si="242"/>
        <v>0</v>
      </c>
      <c r="BF165" s="75">
        <f t="shared" si="281"/>
        <v>0</v>
      </c>
      <c r="BG165" s="75">
        <f t="shared" si="247"/>
        <v>0</v>
      </c>
      <c r="BH165" s="75">
        <f t="shared" si="248"/>
        <v>0</v>
      </c>
      <c r="BI165" s="75"/>
      <c r="BJ165" s="75">
        <f t="shared" si="245"/>
        <v>0</v>
      </c>
      <c r="BK165" s="75">
        <f t="shared" si="249"/>
        <v>0</v>
      </c>
      <c r="BL165" s="75">
        <f t="shared" si="250"/>
        <v>0</v>
      </c>
      <c r="BM165" s="75">
        <f t="shared" si="251"/>
        <v>0</v>
      </c>
      <c r="BN165" s="75"/>
      <c r="BO165" s="75">
        <f t="shared" si="252"/>
        <v>0</v>
      </c>
      <c r="BP165" s="75">
        <f t="shared" si="253"/>
        <v>0</v>
      </c>
      <c r="BQ165" s="75">
        <f t="shared" si="254"/>
        <v>0</v>
      </c>
      <c r="BR165" s="75">
        <f t="shared" si="255"/>
        <v>0</v>
      </c>
      <c r="BS165" s="75">
        <f t="shared" si="256"/>
        <v>0</v>
      </c>
      <c r="BT165" s="75">
        <f t="shared" si="257"/>
        <v>0</v>
      </c>
      <c r="BU165" s="75">
        <f t="shared" si="258"/>
        <v>0</v>
      </c>
      <c r="BV165" s="75">
        <f t="shared" si="259"/>
        <v>0</v>
      </c>
      <c r="BW165" s="75">
        <f t="shared" si="260"/>
        <v>0</v>
      </c>
      <c r="BX165" s="75"/>
      <c r="BY165" s="75">
        <f t="shared" si="261"/>
        <v>0</v>
      </c>
      <c r="BZ165" s="75">
        <f t="shared" si="262"/>
        <v>0</v>
      </c>
      <c r="CA165" s="25">
        <f t="shared" si="243"/>
        <v>0</v>
      </c>
      <c r="CB165" s="75">
        <f t="shared" si="282"/>
        <v>0</v>
      </c>
      <c r="CC165" s="75"/>
      <c r="CD165" s="75"/>
      <c r="CE165" s="75"/>
      <c r="CF165" s="75"/>
      <c r="CG165" s="75"/>
      <c r="CH165" s="75"/>
      <c r="CI165" s="75"/>
      <c r="CJ165" s="75"/>
      <c r="CK165" s="75"/>
      <c r="CL165" s="75"/>
      <c r="CM165" s="75"/>
      <c r="CN165" s="75"/>
      <c r="CO165" s="75"/>
      <c r="CP165" s="75"/>
      <c r="CQ165" s="75"/>
      <c r="CR165" s="75"/>
      <c r="CS165" s="75"/>
      <c r="CT165" s="75"/>
      <c r="CU165" s="75"/>
      <c r="CV165" s="75"/>
      <c r="CW165" s="25">
        <f t="shared" si="244"/>
        <v>1</v>
      </c>
      <c r="CX165" s="75">
        <f t="shared" si="283"/>
        <v>92524043</v>
      </c>
      <c r="CY165" s="75"/>
      <c r="CZ165" s="75"/>
      <c r="DA165" s="75"/>
      <c r="DB165" s="75">
        <f t="shared" si="246"/>
        <v>0</v>
      </c>
      <c r="DC165" s="75">
        <f t="shared" si="263"/>
        <v>0</v>
      </c>
      <c r="DD165" s="75">
        <f t="shared" si="264"/>
        <v>0</v>
      </c>
      <c r="DE165" s="75">
        <f t="shared" si="265"/>
        <v>0</v>
      </c>
      <c r="DF165" s="75"/>
      <c r="DG165" s="75">
        <f t="shared" si="266"/>
        <v>0</v>
      </c>
      <c r="DH165" s="75">
        <f t="shared" si="267"/>
        <v>0</v>
      </c>
      <c r="DI165" s="75"/>
      <c r="DJ165" s="75">
        <f t="shared" si="268"/>
        <v>0</v>
      </c>
      <c r="DK165" s="75">
        <f t="shared" si="269"/>
        <v>0</v>
      </c>
      <c r="DL165" s="75">
        <f t="shared" si="270"/>
        <v>0</v>
      </c>
      <c r="DM165" s="75">
        <f t="shared" si="271"/>
        <v>0</v>
      </c>
      <c r="DN165" s="75">
        <f t="shared" si="272"/>
        <v>0</v>
      </c>
      <c r="DO165" s="75">
        <f t="shared" si="273"/>
        <v>0</v>
      </c>
      <c r="DP165" s="75">
        <f t="shared" si="274"/>
        <v>0</v>
      </c>
      <c r="DQ165" s="75">
        <f t="shared" si="276"/>
        <v>92524043</v>
      </c>
      <c r="DR165" s="75">
        <f t="shared" si="275"/>
        <v>0</v>
      </c>
    </row>
    <row r="166" spans="1:122" ht="22.5" customHeight="1" x14ac:dyDescent="0.25">
      <c r="A166" s="246"/>
      <c r="B166" s="85"/>
      <c r="C166" s="86" t="s">
        <v>63</v>
      </c>
      <c r="D166" s="81" t="s">
        <v>62</v>
      </c>
      <c r="E166" s="80">
        <v>211</v>
      </c>
      <c r="F166" s="78" t="s">
        <v>12</v>
      </c>
      <c r="G166" s="228"/>
      <c r="H166" s="79">
        <f t="shared" si="277"/>
        <v>0</v>
      </c>
      <c r="I166" s="79">
        <f t="shared" si="278"/>
        <v>0</v>
      </c>
      <c r="J166" s="78"/>
      <c r="K166" s="78"/>
      <c r="L166" s="78"/>
      <c r="M166" s="75">
        <f t="shared" si="279"/>
        <v>0</v>
      </c>
      <c r="N166" s="45"/>
      <c r="O166" s="75"/>
      <c r="P166" s="75"/>
      <c r="Q166" s="75">
        <f>31000000-31000000</f>
        <v>0</v>
      </c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25" t="e">
        <f t="shared" si="241"/>
        <v>#DIV/0!</v>
      </c>
      <c r="AJ166" s="75">
        <f t="shared" si="280"/>
        <v>0</v>
      </c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25" t="e">
        <f t="shared" si="242"/>
        <v>#DIV/0!</v>
      </c>
      <c r="BF166" s="75">
        <f t="shared" si="281"/>
        <v>0</v>
      </c>
      <c r="BG166" s="75"/>
      <c r="BH166" s="75"/>
      <c r="BI166" s="75"/>
      <c r="BJ166" s="75">
        <f t="shared" si="245"/>
        <v>0</v>
      </c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25" t="e">
        <f t="shared" si="243"/>
        <v>#DIV/0!</v>
      </c>
      <c r="CB166" s="75">
        <f t="shared" si="282"/>
        <v>0</v>
      </c>
      <c r="CC166" s="75"/>
      <c r="CD166" s="75"/>
      <c r="CE166" s="75"/>
      <c r="CF166" s="75"/>
      <c r="CG166" s="75"/>
      <c r="CH166" s="75"/>
      <c r="CI166" s="75"/>
      <c r="CJ166" s="75"/>
      <c r="CK166" s="75"/>
      <c r="CL166" s="75"/>
      <c r="CM166" s="75"/>
      <c r="CN166" s="75"/>
      <c r="CO166" s="75"/>
      <c r="CP166" s="75"/>
      <c r="CQ166" s="75"/>
      <c r="CR166" s="75"/>
      <c r="CS166" s="75"/>
      <c r="CT166" s="75"/>
      <c r="CU166" s="75"/>
      <c r="CV166" s="75"/>
      <c r="CW166" s="25" t="e">
        <f t="shared" si="244"/>
        <v>#DIV/0!</v>
      </c>
      <c r="CX166" s="75">
        <f t="shared" si="283"/>
        <v>0</v>
      </c>
      <c r="CY166" s="75"/>
      <c r="CZ166" s="75"/>
      <c r="DA166" s="75"/>
      <c r="DB166" s="75">
        <f t="shared" si="246"/>
        <v>0</v>
      </c>
      <c r="DC166" s="75"/>
      <c r="DD166" s="75"/>
      <c r="DE166" s="75"/>
      <c r="DF166" s="75"/>
      <c r="DG166" s="75"/>
      <c r="DH166" s="75"/>
      <c r="DI166" s="75"/>
      <c r="DJ166" s="75"/>
      <c r="DK166" s="75"/>
      <c r="DL166" s="75"/>
      <c r="DM166" s="75"/>
      <c r="DN166" s="75"/>
      <c r="DO166" s="75"/>
      <c r="DP166" s="75"/>
      <c r="DQ166" s="75"/>
      <c r="DR166" s="75"/>
    </row>
    <row r="167" spans="1:122" ht="24.75" customHeight="1" x14ac:dyDescent="0.25">
      <c r="A167" s="246"/>
      <c r="B167" s="85"/>
      <c r="C167" s="86" t="s">
        <v>61</v>
      </c>
      <c r="D167" s="81" t="s">
        <v>60</v>
      </c>
      <c r="E167" s="80">
        <v>211</v>
      </c>
      <c r="F167" s="78" t="s">
        <v>12</v>
      </c>
      <c r="G167" s="228"/>
      <c r="H167" s="79">
        <f t="shared" si="277"/>
        <v>0</v>
      </c>
      <c r="I167" s="79">
        <f t="shared" si="278"/>
        <v>0</v>
      </c>
      <c r="J167" s="78"/>
      <c r="K167" s="78"/>
      <c r="L167" s="78"/>
      <c r="M167" s="75">
        <f t="shared" si="279"/>
        <v>0</v>
      </c>
      <c r="N167" s="45"/>
      <c r="O167" s="75"/>
      <c r="P167" s="75"/>
      <c r="Q167" s="75">
        <f>100000000-100000000</f>
        <v>0</v>
      </c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25" t="e">
        <f t="shared" si="241"/>
        <v>#DIV/0!</v>
      </c>
      <c r="AJ167" s="75">
        <f t="shared" si="280"/>
        <v>0</v>
      </c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25" t="e">
        <f t="shared" si="242"/>
        <v>#DIV/0!</v>
      </c>
      <c r="BF167" s="75">
        <f t="shared" si="281"/>
        <v>0</v>
      </c>
      <c r="BG167" s="75"/>
      <c r="BH167" s="75"/>
      <c r="BI167" s="75"/>
      <c r="BJ167" s="75">
        <f t="shared" si="245"/>
        <v>0</v>
      </c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25" t="e">
        <f t="shared" si="243"/>
        <v>#DIV/0!</v>
      </c>
      <c r="CB167" s="75">
        <f t="shared" si="282"/>
        <v>0</v>
      </c>
      <c r="CC167" s="75"/>
      <c r="CD167" s="75"/>
      <c r="CE167" s="75"/>
      <c r="CF167" s="75"/>
      <c r="CG167" s="75"/>
      <c r="CH167" s="75"/>
      <c r="CI167" s="75"/>
      <c r="CJ167" s="75"/>
      <c r="CK167" s="75"/>
      <c r="CL167" s="75"/>
      <c r="CM167" s="75"/>
      <c r="CN167" s="75"/>
      <c r="CO167" s="75"/>
      <c r="CP167" s="75"/>
      <c r="CQ167" s="75"/>
      <c r="CR167" s="75"/>
      <c r="CS167" s="75"/>
      <c r="CT167" s="75"/>
      <c r="CU167" s="75"/>
      <c r="CV167" s="75"/>
      <c r="CW167" s="25" t="e">
        <f t="shared" si="244"/>
        <v>#DIV/0!</v>
      </c>
      <c r="CX167" s="75">
        <f t="shared" si="283"/>
        <v>0</v>
      </c>
      <c r="CY167" s="75"/>
      <c r="CZ167" s="75"/>
      <c r="DA167" s="75"/>
      <c r="DB167" s="75">
        <f t="shared" si="246"/>
        <v>0</v>
      </c>
      <c r="DC167" s="75"/>
      <c r="DD167" s="75"/>
      <c r="DE167" s="75"/>
      <c r="DF167" s="75"/>
      <c r="DG167" s="75"/>
      <c r="DH167" s="75"/>
      <c r="DI167" s="75"/>
      <c r="DJ167" s="75"/>
      <c r="DK167" s="75"/>
      <c r="DL167" s="75"/>
      <c r="DM167" s="75"/>
      <c r="DN167" s="75"/>
      <c r="DO167" s="75"/>
      <c r="DP167" s="75"/>
      <c r="DQ167" s="75"/>
      <c r="DR167" s="75"/>
    </row>
    <row r="168" spans="1:122" ht="24" customHeight="1" x14ac:dyDescent="0.25">
      <c r="A168" s="246"/>
      <c r="B168" s="85"/>
      <c r="C168" s="86" t="s">
        <v>59</v>
      </c>
      <c r="D168" s="81" t="s">
        <v>58</v>
      </c>
      <c r="E168" s="80">
        <v>211</v>
      </c>
      <c r="F168" s="78" t="s">
        <v>12</v>
      </c>
      <c r="G168" s="229"/>
      <c r="H168" s="79">
        <f t="shared" si="277"/>
        <v>0</v>
      </c>
      <c r="I168" s="79">
        <f t="shared" si="278"/>
        <v>290000000</v>
      </c>
      <c r="J168" s="78"/>
      <c r="K168" s="78"/>
      <c r="L168" s="78"/>
      <c r="M168" s="75">
        <f t="shared" si="279"/>
        <v>290000000</v>
      </c>
      <c r="N168" s="45"/>
      <c r="O168" s="75"/>
      <c r="P168" s="75"/>
      <c r="Q168" s="75">
        <f>1000000000-710000000</f>
        <v>290000000</v>
      </c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25"/>
      <c r="AJ168" s="75">
        <f t="shared" si="280"/>
        <v>0</v>
      </c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25"/>
      <c r="BF168" s="75">
        <f t="shared" si="281"/>
        <v>290000000</v>
      </c>
      <c r="BG168" s="75"/>
      <c r="BH168" s="75"/>
      <c r="BI168" s="75"/>
      <c r="BJ168" s="75">
        <f t="shared" si="245"/>
        <v>290000000</v>
      </c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25">
        <f t="shared" si="243"/>
        <v>0</v>
      </c>
      <c r="CB168" s="75">
        <f t="shared" si="282"/>
        <v>0</v>
      </c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25"/>
      <c r="CX168" s="75">
        <f t="shared" si="283"/>
        <v>290000000</v>
      </c>
      <c r="CY168" s="75"/>
      <c r="CZ168" s="75"/>
      <c r="DA168" s="75"/>
      <c r="DB168" s="75">
        <f t="shared" si="246"/>
        <v>290000000</v>
      </c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</row>
    <row r="169" spans="1:122" ht="32.25" customHeight="1" x14ac:dyDescent="0.25">
      <c r="A169" s="246"/>
      <c r="B169" s="85" t="s">
        <v>57</v>
      </c>
      <c r="C169" s="86" t="s">
        <v>56</v>
      </c>
      <c r="D169" s="81" t="s">
        <v>55</v>
      </c>
      <c r="E169" s="80">
        <v>510</v>
      </c>
      <c r="F169" s="78" t="s">
        <v>39</v>
      </c>
      <c r="G169" s="227">
        <v>260000000</v>
      </c>
      <c r="H169" s="79">
        <f t="shared" si="277"/>
        <v>83465123</v>
      </c>
      <c r="I169" s="79">
        <f t="shared" si="278"/>
        <v>3034877</v>
      </c>
      <c r="J169" s="78"/>
      <c r="K169" s="78"/>
      <c r="L169" s="78"/>
      <c r="M169" s="75">
        <f t="shared" si="279"/>
        <v>86500000</v>
      </c>
      <c r="N169" s="45"/>
      <c r="O169" s="75"/>
      <c r="P169" s="75"/>
      <c r="Q169" s="75"/>
      <c r="R169" s="75"/>
      <c r="S169" s="75">
        <f>85000000-16000000+16000000</f>
        <v>85000000</v>
      </c>
      <c r="T169" s="75"/>
      <c r="U169" s="75"/>
      <c r="V169" s="75"/>
      <c r="W169" s="75"/>
      <c r="X169" s="75"/>
      <c r="Y169" s="75"/>
      <c r="Z169" s="75"/>
      <c r="AA169" s="75"/>
      <c r="AB169" s="75"/>
      <c r="AC169" s="75">
        <v>1500000</v>
      </c>
      <c r="AD169" s="75"/>
      <c r="AE169" s="75"/>
      <c r="AF169" s="75"/>
      <c r="AG169" s="75"/>
      <c r="AH169" s="75"/>
      <c r="AI169" s="25">
        <f t="shared" ref="AI169:AI187" si="284">+AJ169/M169</f>
        <v>1</v>
      </c>
      <c r="AJ169" s="75">
        <f t="shared" si="280"/>
        <v>86500000</v>
      </c>
      <c r="AK169" s="75"/>
      <c r="AL169" s="75"/>
      <c r="AM169" s="75"/>
      <c r="AN169" s="75"/>
      <c r="AO169" s="75"/>
      <c r="AP169" s="75">
        <f>+'[6]JUNIO 2015'!$O$1705</f>
        <v>85000000</v>
      </c>
      <c r="AQ169" s="75"/>
      <c r="AR169" s="75"/>
      <c r="AS169" s="75"/>
      <c r="AT169" s="75"/>
      <c r="AU169" s="75"/>
      <c r="AV169" s="75"/>
      <c r="AW169" s="75"/>
      <c r="AX169" s="75"/>
      <c r="AY169" s="75"/>
      <c r="AZ169" s="75">
        <f>+'[6]JUNIO 2015'!$Y$1705</f>
        <v>1500000</v>
      </c>
      <c r="BA169" s="75"/>
      <c r="BB169" s="75"/>
      <c r="BC169" s="75"/>
      <c r="BD169" s="75"/>
      <c r="BE169" s="25">
        <f t="shared" ref="BE169:BE187" si="285">1-AI169</f>
        <v>0</v>
      </c>
      <c r="BF169" s="75">
        <f t="shared" si="281"/>
        <v>0</v>
      </c>
      <c r="BG169" s="75">
        <f t="shared" ref="BG169:BG186" si="286">+N169-AK169</f>
        <v>0</v>
      </c>
      <c r="BH169" s="75">
        <f t="shared" ref="BH169:BH186" si="287">O169-AL169</f>
        <v>0</v>
      </c>
      <c r="BI169" s="75"/>
      <c r="BJ169" s="75">
        <f t="shared" si="245"/>
        <v>0</v>
      </c>
      <c r="BK169" s="75">
        <f t="shared" ref="BK169:BK186" si="288">R169-AO169</f>
        <v>0</v>
      </c>
      <c r="BL169" s="75">
        <f t="shared" ref="BL169:BL186" si="289">+S169-AP169</f>
        <v>0</v>
      </c>
      <c r="BM169" s="75">
        <f t="shared" ref="BM169:BM186" si="290">+T169-AQ169</f>
        <v>0</v>
      </c>
      <c r="BN169" s="75"/>
      <c r="BO169" s="75">
        <f t="shared" ref="BO169:BO186" si="291">+V169-AS169</f>
        <v>0</v>
      </c>
      <c r="BP169" s="75">
        <f t="shared" ref="BP169:BP186" si="292">+W169-AT169</f>
        <v>0</v>
      </c>
      <c r="BQ169" s="75">
        <f t="shared" ref="BQ169:BQ186" si="293">+X169-AU169</f>
        <v>0</v>
      </c>
      <c r="BR169" s="75">
        <f t="shared" ref="BR169:BR186" si="294">+Y169-AV169</f>
        <v>0</v>
      </c>
      <c r="BS169" s="75">
        <f t="shared" ref="BS169:BS186" si="295">+Z169-AW169</f>
        <v>0</v>
      </c>
      <c r="BT169" s="75">
        <f t="shared" ref="BT169:BT186" si="296">+AA169-AX169</f>
        <v>0</v>
      </c>
      <c r="BU169" s="75">
        <f t="shared" ref="BU169:BU186" si="297">+AB169-AY169</f>
        <v>0</v>
      </c>
      <c r="BV169" s="75">
        <f t="shared" ref="BV169:BV186" si="298">+AC169-AZ169</f>
        <v>0</v>
      </c>
      <c r="BW169" s="75">
        <f t="shared" ref="BW169:BW186" si="299">+AD169-BA169</f>
        <v>0</v>
      </c>
      <c r="BX169" s="75"/>
      <c r="BY169" s="75">
        <f t="shared" ref="BY169:BZ174" si="300">+AF169-BC169</f>
        <v>0</v>
      </c>
      <c r="BZ169" s="75">
        <f t="shared" si="300"/>
        <v>0</v>
      </c>
      <c r="CA169" s="25">
        <f t="shared" ref="CA169:CA187" si="301">+CB169/M169</f>
        <v>0.96491471676300578</v>
      </c>
      <c r="CB169" s="75">
        <f t="shared" si="282"/>
        <v>83465123</v>
      </c>
      <c r="CC169" s="75"/>
      <c r="CD169" s="75"/>
      <c r="CE169" s="75"/>
      <c r="CF169" s="75"/>
      <c r="CG169" s="75"/>
      <c r="CH169" s="75">
        <f>+'[2]JULIO 2015'!$H$1989+'[2]JULIO 2015'!$H$1995+'[2]JULIO 2015'!$H$1997</f>
        <v>83465123</v>
      </c>
      <c r="CI169" s="75"/>
      <c r="CJ169" s="75"/>
      <c r="CK169" s="75"/>
      <c r="CL169" s="75"/>
      <c r="CM169" s="75"/>
      <c r="CN169" s="75"/>
      <c r="CO169" s="75"/>
      <c r="CP169" s="75"/>
      <c r="CQ169" s="75"/>
      <c r="CR169" s="75"/>
      <c r="CS169" s="75"/>
      <c r="CT169" s="75"/>
      <c r="CU169" s="75"/>
      <c r="CV169" s="75"/>
      <c r="CW169" s="25">
        <f t="shared" ref="CW169:CW187" si="302">1-CA169</f>
        <v>3.5085283236994225E-2</v>
      </c>
      <c r="CX169" s="75">
        <f t="shared" si="283"/>
        <v>3034877</v>
      </c>
      <c r="CY169" s="75"/>
      <c r="CZ169" s="75">
        <f>O169-CD169</f>
        <v>0</v>
      </c>
      <c r="DA169" s="75"/>
      <c r="DB169" s="75">
        <f t="shared" si="246"/>
        <v>0</v>
      </c>
      <c r="DC169" s="75">
        <f t="shared" ref="DC169:DC186" si="303">R169-CG169</f>
        <v>0</v>
      </c>
      <c r="DD169" s="75">
        <f t="shared" ref="DD169:DD186" si="304">S169-CH169</f>
        <v>1534877</v>
      </c>
      <c r="DE169" s="75">
        <f t="shared" ref="DE169:DE186" si="305">T169-CI169</f>
        <v>0</v>
      </c>
      <c r="DF169" s="75"/>
      <c r="DG169" s="75">
        <f t="shared" ref="DG169:DG186" si="306">+V169-CK169</f>
        <v>0</v>
      </c>
      <c r="DH169" s="75">
        <f t="shared" ref="DH169:DH186" si="307">+W169-CL169</f>
        <v>0</v>
      </c>
      <c r="DI169" s="75"/>
      <c r="DJ169" s="75">
        <f t="shared" ref="DJ169:DJ186" si="308">Y169-CN169</f>
        <v>0</v>
      </c>
      <c r="DK169" s="75">
        <f t="shared" ref="DK169:DK186" si="309">Z169-CO169</f>
        <v>0</v>
      </c>
      <c r="DL169" s="75">
        <f t="shared" ref="DL169:DL186" si="310">AA169-CP169</f>
        <v>0</v>
      </c>
      <c r="DM169" s="75">
        <f t="shared" ref="DM169:DM186" si="311">+AB169-CQ169</f>
        <v>0</v>
      </c>
      <c r="DN169" s="75">
        <f t="shared" ref="DN169:DN186" si="312">+AC169-CR169</f>
        <v>1500000</v>
      </c>
      <c r="DO169" s="75">
        <f t="shared" ref="DO169:DO186" si="313">+AD169-CS169</f>
        <v>0</v>
      </c>
      <c r="DP169" s="75">
        <f t="shared" ref="DP169:DP186" si="314">+AE169-CT169</f>
        <v>0</v>
      </c>
      <c r="DQ169" s="75">
        <f t="shared" ref="DQ169:DQ186" si="315">+AF169-CU169</f>
        <v>0</v>
      </c>
      <c r="DR169" s="75">
        <f t="shared" ref="DR169:DR186" si="316">+AG169-CV169</f>
        <v>0</v>
      </c>
    </row>
    <row r="170" spans="1:122" ht="47.25" customHeight="1" x14ac:dyDescent="0.25">
      <c r="A170" s="246"/>
      <c r="B170" s="85"/>
      <c r="C170" s="86" t="s">
        <v>54</v>
      </c>
      <c r="D170" s="81" t="s">
        <v>53</v>
      </c>
      <c r="E170" s="80">
        <v>510</v>
      </c>
      <c r="F170" s="78" t="s">
        <v>39</v>
      </c>
      <c r="G170" s="228"/>
      <c r="H170" s="79">
        <f t="shared" si="277"/>
        <v>0</v>
      </c>
      <c r="I170" s="79">
        <f t="shared" si="278"/>
        <v>10000000</v>
      </c>
      <c r="J170" s="78"/>
      <c r="K170" s="78"/>
      <c r="L170" s="78"/>
      <c r="M170" s="75">
        <f t="shared" si="279"/>
        <v>10000000</v>
      </c>
      <c r="N170" s="45"/>
      <c r="O170" s="75"/>
      <c r="P170" s="75"/>
      <c r="Q170" s="75">
        <f>16000000-16000000</f>
        <v>0</v>
      </c>
      <c r="R170" s="75"/>
      <c r="S170" s="75">
        <f>16000000-16000000</f>
        <v>0</v>
      </c>
      <c r="T170" s="75"/>
      <c r="U170" s="75"/>
      <c r="V170" s="75"/>
      <c r="W170" s="75"/>
      <c r="X170" s="75"/>
      <c r="Y170" s="75"/>
      <c r="Z170" s="75"/>
      <c r="AA170" s="75"/>
      <c r="AB170" s="75"/>
      <c r="AC170" s="75">
        <v>10000000</v>
      </c>
      <c r="AD170" s="75"/>
      <c r="AE170" s="75"/>
      <c r="AF170" s="75"/>
      <c r="AG170" s="75"/>
      <c r="AI170" s="25">
        <f t="shared" si="284"/>
        <v>0.57037199999999999</v>
      </c>
      <c r="AJ170" s="75">
        <f t="shared" si="280"/>
        <v>5703720</v>
      </c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>
        <f>+'[1]AGOSTO 2015'!$Y$2243</f>
        <v>5703720</v>
      </c>
      <c r="BA170" s="75"/>
      <c r="BB170" s="75"/>
      <c r="BC170" s="75"/>
      <c r="BD170" s="75"/>
      <c r="BE170" s="25">
        <f t="shared" si="285"/>
        <v>0.42962800000000001</v>
      </c>
      <c r="BF170" s="75">
        <f t="shared" si="281"/>
        <v>4296280</v>
      </c>
      <c r="BG170" s="75">
        <f t="shared" si="286"/>
        <v>0</v>
      </c>
      <c r="BH170" s="75">
        <f t="shared" si="287"/>
        <v>0</v>
      </c>
      <c r="BI170" s="75"/>
      <c r="BJ170" s="75">
        <f t="shared" si="245"/>
        <v>0</v>
      </c>
      <c r="BK170" s="75">
        <f t="shared" si="288"/>
        <v>0</v>
      </c>
      <c r="BL170" s="75">
        <f t="shared" si="289"/>
        <v>0</v>
      </c>
      <c r="BM170" s="75">
        <f t="shared" si="290"/>
        <v>0</v>
      </c>
      <c r="BN170" s="75"/>
      <c r="BO170" s="75">
        <f t="shared" si="291"/>
        <v>0</v>
      </c>
      <c r="BP170" s="75">
        <f t="shared" si="292"/>
        <v>0</v>
      </c>
      <c r="BQ170" s="75">
        <f t="shared" si="293"/>
        <v>0</v>
      </c>
      <c r="BR170" s="75">
        <f t="shared" si="294"/>
        <v>0</v>
      </c>
      <c r="BS170" s="75">
        <f t="shared" si="295"/>
        <v>0</v>
      </c>
      <c r="BT170" s="75">
        <f t="shared" si="296"/>
        <v>0</v>
      </c>
      <c r="BU170" s="75">
        <f t="shared" si="297"/>
        <v>0</v>
      </c>
      <c r="BV170" s="75">
        <f t="shared" si="298"/>
        <v>4296280</v>
      </c>
      <c r="BW170" s="75">
        <f t="shared" si="299"/>
        <v>0</v>
      </c>
      <c r="BX170" s="75"/>
      <c r="BY170" s="75">
        <f t="shared" si="300"/>
        <v>0</v>
      </c>
      <c r="BZ170" s="75">
        <f t="shared" si="300"/>
        <v>0</v>
      </c>
      <c r="CA170" s="25">
        <f t="shared" si="301"/>
        <v>0</v>
      </c>
      <c r="CB170" s="75">
        <f t="shared" si="282"/>
        <v>0</v>
      </c>
      <c r="CC170" s="75"/>
      <c r="CD170" s="75"/>
      <c r="CE170" s="75"/>
      <c r="CF170" s="75"/>
      <c r="CG170" s="75"/>
      <c r="CH170" s="75"/>
      <c r="CI170" s="75"/>
      <c r="CJ170" s="75"/>
      <c r="CK170" s="75"/>
      <c r="CL170" s="75"/>
      <c r="CM170" s="75"/>
      <c r="CN170" s="75"/>
      <c r="CO170" s="75"/>
      <c r="CP170" s="75"/>
      <c r="CQ170" s="75"/>
      <c r="CR170" s="75"/>
      <c r="CS170" s="75"/>
      <c r="CT170" s="75"/>
      <c r="CU170" s="75"/>
      <c r="CV170" s="75"/>
      <c r="CW170" s="25">
        <f t="shared" si="302"/>
        <v>1</v>
      </c>
      <c r="CX170" s="75">
        <f t="shared" si="283"/>
        <v>10000000</v>
      </c>
      <c r="CY170" s="75"/>
      <c r="CZ170" s="75"/>
      <c r="DA170" s="75"/>
      <c r="DB170" s="75">
        <f t="shared" si="246"/>
        <v>0</v>
      </c>
      <c r="DC170" s="75">
        <f t="shared" si="303"/>
        <v>0</v>
      </c>
      <c r="DD170" s="75">
        <f t="shared" si="304"/>
        <v>0</v>
      </c>
      <c r="DE170" s="75">
        <f t="shared" si="305"/>
        <v>0</v>
      </c>
      <c r="DF170" s="75"/>
      <c r="DG170" s="75">
        <f t="shared" si="306"/>
        <v>0</v>
      </c>
      <c r="DH170" s="75">
        <f t="shared" si="307"/>
        <v>0</v>
      </c>
      <c r="DI170" s="75"/>
      <c r="DJ170" s="75">
        <f t="shared" si="308"/>
        <v>0</v>
      </c>
      <c r="DK170" s="75">
        <f t="shared" si="309"/>
        <v>0</v>
      </c>
      <c r="DL170" s="75">
        <f t="shared" si="310"/>
        <v>0</v>
      </c>
      <c r="DM170" s="75">
        <f t="shared" si="311"/>
        <v>0</v>
      </c>
      <c r="DN170" s="75">
        <f t="shared" si="312"/>
        <v>10000000</v>
      </c>
      <c r="DO170" s="75">
        <f t="shared" si="313"/>
        <v>0</v>
      </c>
      <c r="DP170" s="75">
        <f t="shared" si="314"/>
        <v>0</v>
      </c>
      <c r="DQ170" s="75">
        <f t="shared" si="315"/>
        <v>0</v>
      </c>
      <c r="DR170" s="75">
        <f t="shared" si="316"/>
        <v>0</v>
      </c>
    </row>
    <row r="171" spans="1:122" ht="41.25" customHeight="1" x14ac:dyDescent="0.25">
      <c r="A171" s="246"/>
      <c r="B171" s="85"/>
      <c r="C171" s="86" t="s">
        <v>52</v>
      </c>
      <c r="D171" s="81" t="s">
        <v>51</v>
      </c>
      <c r="E171" s="80">
        <v>510</v>
      </c>
      <c r="F171" s="78" t="s">
        <v>50</v>
      </c>
      <c r="G171" s="228"/>
      <c r="H171" s="79">
        <f t="shared" si="277"/>
        <v>0</v>
      </c>
      <c r="I171" s="79">
        <f t="shared" si="278"/>
        <v>8000000</v>
      </c>
      <c r="J171" s="78"/>
      <c r="K171" s="78"/>
      <c r="L171" s="78"/>
      <c r="M171" s="75">
        <f t="shared" si="279"/>
        <v>8000000</v>
      </c>
      <c r="N171" s="45"/>
      <c r="O171" s="75"/>
      <c r="P171" s="75"/>
      <c r="Q171" s="75"/>
      <c r="R171" s="75"/>
      <c r="S171" s="75">
        <v>8000000</v>
      </c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I171" s="25">
        <f t="shared" si="284"/>
        <v>0</v>
      </c>
      <c r="AJ171" s="75">
        <f t="shared" si="280"/>
        <v>0</v>
      </c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25">
        <f t="shared" si="285"/>
        <v>1</v>
      </c>
      <c r="BF171" s="75">
        <f t="shared" si="281"/>
        <v>8000000</v>
      </c>
      <c r="BG171" s="75">
        <f t="shared" si="286"/>
        <v>0</v>
      </c>
      <c r="BH171" s="75">
        <f t="shared" si="287"/>
        <v>0</v>
      </c>
      <c r="BI171" s="75"/>
      <c r="BJ171" s="75">
        <f t="shared" si="245"/>
        <v>0</v>
      </c>
      <c r="BK171" s="75">
        <f t="shared" si="288"/>
        <v>0</v>
      </c>
      <c r="BL171" s="75">
        <f t="shared" si="289"/>
        <v>8000000</v>
      </c>
      <c r="BM171" s="75">
        <f t="shared" si="290"/>
        <v>0</v>
      </c>
      <c r="BN171" s="75"/>
      <c r="BO171" s="75">
        <f t="shared" si="291"/>
        <v>0</v>
      </c>
      <c r="BP171" s="75">
        <f t="shared" si="292"/>
        <v>0</v>
      </c>
      <c r="BQ171" s="75">
        <f t="shared" si="293"/>
        <v>0</v>
      </c>
      <c r="BR171" s="75">
        <f t="shared" si="294"/>
        <v>0</v>
      </c>
      <c r="BS171" s="75">
        <f t="shared" si="295"/>
        <v>0</v>
      </c>
      <c r="BT171" s="75">
        <f t="shared" si="296"/>
        <v>0</v>
      </c>
      <c r="BU171" s="75">
        <f t="shared" si="297"/>
        <v>0</v>
      </c>
      <c r="BV171" s="75">
        <f t="shared" si="298"/>
        <v>0</v>
      </c>
      <c r="BW171" s="75">
        <f t="shared" si="299"/>
        <v>0</v>
      </c>
      <c r="BX171" s="75"/>
      <c r="BY171" s="75">
        <f t="shared" si="300"/>
        <v>0</v>
      </c>
      <c r="BZ171" s="75">
        <f t="shared" si="300"/>
        <v>0</v>
      </c>
      <c r="CA171" s="25">
        <f t="shared" si="301"/>
        <v>0</v>
      </c>
      <c r="CB171" s="75">
        <f t="shared" si="282"/>
        <v>0</v>
      </c>
      <c r="CC171" s="75"/>
      <c r="CD171" s="75"/>
      <c r="CE171" s="75"/>
      <c r="CF171" s="75"/>
      <c r="CG171" s="75"/>
      <c r="CH171" s="75"/>
      <c r="CI171" s="75"/>
      <c r="CJ171" s="75"/>
      <c r="CK171" s="75"/>
      <c r="CL171" s="75"/>
      <c r="CM171" s="75"/>
      <c r="CN171" s="75"/>
      <c r="CO171" s="75"/>
      <c r="CP171" s="75"/>
      <c r="CQ171" s="75"/>
      <c r="CR171" s="75"/>
      <c r="CS171" s="75"/>
      <c r="CT171" s="75"/>
      <c r="CU171" s="75"/>
      <c r="CV171" s="75"/>
      <c r="CW171" s="25">
        <f t="shared" si="302"/>
        <v>1</v>
      </c>
      <c r="CX171" s="75">
        <f t="shared" si="283"/>
        <v>8000000</v>
      </c>
      <c r="CY171" s="75"/>
      <c r="CZ171" s="75"/>
      <c r="DA171" s="75"/>
      <c r="DB171" s="75">
        <f t="shared" si="246"/>
        <v>0</v>
      </c>
      <c r="DC171" s="75">
        <f t="shared" si="303"/>
        <v>0</v>
      </c>
      <c r="DD171" s="75">
        <f t="shared" si="304"/>
        <v>8000000</v>
      </c>
      <c r="DE171" s="75">
        <f t="shared" si="305"/>
        <v>0</v>
      </c>
      <c r="DF171" s="75"/>
      <c r="DG171" s="75">
        <f t="shared" si="306"/>
        <v>0</v>
      </c>
      <c r="DH171" s="75">
        <f t="shared" si="307"/>
        <v>0</v>
      </c>
      <c r="DI171" s="75"/>
      <c r="DJ171" s="75">
        <f t="shared" si="308"/>
        <v>0</v>
      </c>
      <c r="DK171" s="75">
        <f t="shared" si="309"/>
        <v>0</v>
      </c>
      <c r="DL171" s="75">
        <f t="shared" si="310"/>
        <v>0</v>
      </c>
      <c r="DM171" s="75">
        <f t="shared" si="311"/>
        <v>0</v>
      </c>
      <c r="DN171" s="75">
        <f t="shared" si="312"/>
        <v>0</v>
      </c>
      <c r="DO171" s="75">
        <f t="shared" si="313"/>
        <v>0</v>
      </c>
      <c r="DP171" s="75">
        <f t="shared" si="314"/>
        <v>0</v>
      </c>
      <c r="DQ171" s="75">
        <f t="shared" si="315"/>
        <v>0</v>
      </c>
      <c r="DR171" s="75">
        <f t="shared" si="316"/>
        <v>0</v>
      </c>
    </row>
    <row r="172" spans="1:122" ht="49.5" customHeight="1" x14ac:dyDescent="0.25">
      <c r="A172" s="246"/>
      <c r="B172" s="85"/>
      <c r="C172" s="86" t="s">
        <v>49</v>
      </c>
      <c r="D172" s="81" t="s">
        <v>48</v>
      </c>
      <c r="E172" s="80">
        <v>510</v>
      </c>
      <c r="F172" s="78" t="s">
        <v>39</v>
      </c>
      <c r="G172" s="228"/>
      <c r="H172" s="79">
        <f t="shared" si="277"/>
        <v>0</v>
      </c>
      <c r="I172" s="79">
        <f t="shared" si="278"/>
        <v>0</v>
      </c>
      <c r="J172" s="78"/>
      <c r="K172" s="78"/>
      <c r="L172" s="78"/>
      <c r="M172" s="75">
        <f t="shared" si="279"/>
        <v>0</v>
      </c>
      <c r="N172" s="45"/>
      <c r="O172" s="75"/>
      <c r="P172" s="75"/>
      <c r="Q172" s="75">
        <f>16000000-16000000</f>
        <v>0</v>
      </c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I172" s="25" t="e">
        <f t="shared" si="284"/>
        <v>#DIV/0!</v>
      </c>
      <c r="AJ172" s="75">
        <f t="shared" si="280"/>
        <v>0</v>
      </c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25" t="e">
        <f t="shared" si="285"/>
        <v>#DIV/0!</v>
      </c>
      <c r="BF172" s="75">
        <f t="shared" si="281"/>
        <v>0</v>
      </c>
      <c r="BG172" s="75">
        <f t="shared" si="286"/>
        <v>0</v>
      </c>
      <c r="BH172" s="75">
        <f t="shared" si="287"/>
        <v>0</v>
      </c>
      <c r="BI172" s="75"/>
      <c r="BJ172" s="75">
        <f t="shared" si="245"/>
        <v>0</v>
      </c>
      <c r="BK172" s="75">
        <f t="shared" si="288"/>
        <v>0</v>
      </c>
      <c r="BL172" s="75">
        <f t="shared" si="289"/>
        <v>0</v>
      </c>
      <c r="BM172" s="75">
        <f t="shared" si="290"/>
        <v>0</v>
      </c>
      <c r="BN172" s="75"/>
      <c r="BO172" s="75">
        <f t="shared" si="291"/>
        <v>0</v>
      </c>
      <c r="BP172" s="75">
        <f t="shared" si="292"/>
        <v>0</v>
      </c>
      <c r="BQ172" s="75">
        <f t="shared" si="293"/>
        <v>0</v>
      </c>
      <c r="BR172" s="75">
        <f t="shared" si="294"/>
        <v>0</v>
      </c>
      <c r="BS172" s="75">
        <f t="shared" si="295"/>
        <v>0</v>
      </c>
      <c r="BT172" s="75">
        <f t="shared" si="296"/>
        <v>0</v>
      </c>
      <c r="BU172" s="75">
        <f t="shared" si="297"/>
        <v>0</v>
      </c>
      <c r="BV172" s="75">
        <f t="shared" si="298"/>
        <v>0</v>
      </c>
      <c r="BW172" s="75">
        <f t="shared" si="299"/>
        <v>0</v>
      </c>
      <c r="BX172" s="75"/>
      <c r="BY172" s="75">
        <f t="shared" si="300"/>
        <v>0</v>
      </c>
      <c r="BZ172" s="75">
        <f t="shared" si="300"/>
        <v>0</v>
      </c>
      <c r="CA172" s="25" t="e">
        <f t="shared" si="301"/>
        <v>#DIV/0!</v>
      </c>
      <c r="CB172" s="75">
        <f t="shared" si="282"/>
        <v>0</v>
      </c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25" t="e">
        <f t="shared" si="302"/>
        <v>#DIV/0!</v>
      </c>
      <c r="CX172" s="75">
        <f t="shared" si="283"/>
        <v>0</v>
      </c>
      <c r="CY172" s="75"/>
      <c r="CZ172" s="75"/>
      <c r="DA172" s="75"/>
      <c r="DB172" s="75">
        <f t="shared" si="246"/>
        <v>0</v>
      </c>
      <c r="DC172" s="75">
        <f t="shared" si="303"/>
        <v>0</v>
      </c>
      <c r="DD172" s="75">
        <f t="shared" si="304"/>
        <v>0</v>
      </c>
      <c r="DE172" s="75">
        <f t="shared" si="305"/>
        <v>0</v>
      </c>
      <c r="DF172" s="75"/>
      <c r="DG172" s="75">
        <f t="shared" si="306"/>
        <v>0</v>
      </c>
      <c r="DH172" s="75">
        <f t="shared" si="307"/>
        <v>0</v>
      </c>
      <c r="DI172" s="75"/>
      <c r="DJ172" s="75">
        <f t="shared" si="308"/>
        <v>0</v>
      </c>
      <c r="DK172" s="75">
        <f t="shared" si="309"/>
        <v>0</v>
      </c>
      <c r="DL172" s="75">
        <f t="shared" si="310"/>
        <v>0</v>
      </c>
      <c r="DM172" s="75">
        <f t="shared" si="311"/>
        <v>0</v>
      </c>
      <c r="DN172" s="75">
        <f t="shared" si="312"/>
        <v>0</v>
      </c>
      <c r="DO172" s="75">
        <f t="shared" si="313"/>
        <v>0</v>
      </c>
      <c r="DP172" s="75">
        <f t="shared" si="314"/>
        <v>0</v>
      </c>
      <c r="DQ172" s="75">
        <f t="shared" si="315"/>
        <v>0</v>
      </c>
      <c r="DR172" s="75">
        <f t="shared" si="316"/>
        <v>0</v>
      </c>
    </row>
    <row r="173" spans="1:122" ht="47.25" customHeight="1" x14ac:dyDescent="0.25">
      <c r="A173" s="246"/>
      <c r="B173" s="85"/>
      <c r="C173" s="86" t="s">
        <v>47</v>
      </c>
      <c r="D173" s="81" t="s">
        <v>46</v>
      </c>
      <c r="E173" s="80">
        <v>510</v>
      </c>
      <c r="F173" s="78" t="s">
        <v>39</v>
      </c>
      <c r="G173" s="228"/>
      <c r="H173" s="79">
        <f t="shared" si="277"/>
        <v>0</v>
      </c>
      <c r="I173" s="79">
        <f t="shared" si="278"/>
        <v>0</v>
      </c>
      <c r="J173" s="78"/>
      <c r="K173" s="78"/>
      <c r="L173" s="78"/>
      <c r="M173" s="75">
        <f t="shared" si="279"/>
        <v>0</v>
      </c>
      <c r="N173" s="45"/>
      <c r="O173" s="75"/>
      <c r="P173" s="75"/>
      <c r="Q173" s="75">
        <f>5000000-5000000</f>
        <v>0</v>
      </c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I173" s="25" t="e">
        <f t="shared" si="284"/>
        <v>#DIV/0!</v>
      </c>
      <c r="AJ173" s="75">
        <f t="shared" si="280"/>
        <v>0</v>
      </c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25" t="e">
        <f t="shared" si="285"/>
        <v>#DIV/0!</v>
      </c>
      <c r="BF173" s="75">
        <f t="shared" si="281"/>
        <v>0</v>
      </c>
      <c r="BG173" s="75">
        <f t="shared" si="286"/>
        <v>0</v>
      </c>
      <c r="BH173" s="75">
        <f t="shared" si="287"/>
        <v>0</v>
      </c>
      <c r="BI173" s="75"/>
      <c r="BJ173" s="75">
        <f t="shared" si="245"/>
        <v>0</v>
      </c>
      <c r="BK173" s="75">
        <f t="shared" si="288"/>
        <v>0</v>
      </c>
      <c r="BL173" s="75">
        <f t="shared" si="289"/>
        <v>0</v>
      </c>
      <c r="BM173" s="75">
        <f t="shared" si="290"/>
        <v>0</v>
      </c>
      <c r="BN173" s="75"/>
      <c r="BO173" s="75">
        <f t="shared" si="291"/>
        <v>0</v>
      </c>
      <c r="BP173" s="75">
        <f t="shared" si="292"/>
        <v>0</v>
      </c>
      <c r="BQ173" s="75">
        <f t="shared" si="293"/>
        <v>0</v>
      </c>
      <c r="BR173" s="75">
        <f t="shared" si="294"/>
        <v>0</v>
      </c>
      <c r="BS173" s="75">
        <f t="shared" si="295"/>
        <v>0</v>
      </c>
      <c r="BT173" s="75">
        <f t="shared" si="296"/>
        <v>0</v>
      </c>
      <c r="BU173" s="75">
        <f t="shared" si="297"/>
        <v>0</v>
      </c>
      <c r="BV173" s="75">
        <f t="shared" si="298"/>
        <v>0</v>
      </c>
      <c r="BW173" s="75">
        <f t="shared" si="299"/>
        <v>0</v>
      </c>
      <c r="BX173" s="75"/>
      <c r="BY173" s="75">
        <f t="shared" si="300"/>
        <v>0</v>
      </c>
      <c r="BZ173" s="75">
        <f t="shared" si="300"/>
        <v>0</v>
      </c>
      <c r="CA173" s="25" t="e">
        <f t="shared" si="301"/>
        <v>#DIV/0!</v>
      </c>
      <c r="CB173" s="75">
        <f t="shared" si="282"/>
        <v>0</v>
      </c>
      <c r="CC173" s="75"/>
      <c r="CD173" s="75"/>
      <c r="CE173" s="75"/>
      <c r="CF173" s="75"/>
      <c r="CG173" s="75"/>
      <c r="CH173" s="75"/>
      <c r="CI173" s="75"/>
      <c r="CJ173" s="75"/>
      <c r="CK173" s="75"/>
      <c r="CL173" s="75"/>
      <c r="CM173" s="75"/>
      <c r="CN173" s="75"/>
      <c r="CO173" s="75"/>
      <c r="CP173" s="75"/>
      <c r="CQ173" s="75"/>
      <c r="CR173" s="75"/>
      <c r="CS173" s="75"/>
      <c r="CT173" s="75"/>
      <c r="CU173" s="75"/>
      <c r="CV173" s="75"/>
      <c r="CW173" s="25" t="e">
        <f t="shared" si="302"/>
        <v>#DIV/0!</v>
      </c>
      <c r="CX173" s="75">
        <f t="shared" si="283"/>
        <v>0</v>
      </c>
      <c r="CY173" s="75"/>
      <c r="CZ173" s="75"/>
      <c r="DA173" s="75"/>
      <c r="DB173" s="75">
        <f t="shared" si="246"/>
        <v>0</v>
      </c>
      <c r="DC173" s="75">
        <f t="shared" si="303"/>
        <v>0</v>
      </c>
      <c r="DD173" s="75">
        <f t="shared" si="304"/>
        <v>0</v>
      </c>
      <c r="DE173" s="75">
        <f t="shared" si="305"/>
        <v>0</v>
      </c>
      <c r="DF173" s="75"/>
      <c r="DG173" s="75">
        <f t="shared" si="306"/>
        <v>0</v>
      </c>
      <c r="DH173" s="75">
        <f t="shared" si="307"/>
        <v>0</v>
      </c>
      <c r="DI173" s="75"/>
      <c r="DJ173" s="75">
        <f t="shared" si="308"/>
        <v>0</v>
      </c>
      <c r="DK173" s="75">
        <f t="shared" si="309"/>
        <v>0</v>
      </c>
      <c r="DL173" s="75">
        <f t="shared" si="310"/>
        <v>0</v>
      </c>
      <c r="DM173" s="75">
        <f t="shared" si="311"/>
        <v>0</v>
      </c>
      <c r="DN173" s="75">
        <f t="shared" si="312"/>
        <v>0</v>
      </c>
      <c r="DO173" s="75">
        <f t="shared" si="313"/>
        <v>0</v>
      </c>
      <c r="DP173" s="75">
        <f t="shared" si="314"/>
        <v>0</v>
      </c>
      <c r="DQ173" s="75">
        <f t="shared" si="315"/>
        <v>0</v>
      </c>
      <c r="DR173" s="75">
        <f t="shared" si="316"/>
        <v>0</v>
      </c>
    </row>
    <row r="174" spans="1:122" ht="35.25" customHeight="1" x14ac:dyDescent="0.25">
      <c r="A174" s="246"/>
      <c r="B174" s="85"/>
      <c r="C174" s="86" t="s">
        <v>45</v>
      </c>
      <c r="D174" s="81" t="s">
        <v>44</v>
      </c>
      <c r="E174" s="80">
        <v>510</v>
      </c>
      <c r="F174" s="78" t="s">
        <v>39</v>
      </c>
      <c r="G174" s="228"/>
      <c r="H174" s="79">
        <f t="shared" si="277"/>
        <v>0</v>
      </c>
      <c r="I174" s="79">
        <f t="shared" si="278"/>
        <v>8000000</v>
      </c>
      <c r="J174" s="78"/>
      <c r="K174" s="78"/>
      <c r="L174" s="78"/>
      <c r="M174" s="75">
        <f t="shared" si="279"/>
        <v>8000000</v>
      </c>
      <c r="N174" s="45"/>
      <c r="O174" s="75"/>
      <c r="P174" s="75"/>
      <c r="Q174" s="75">
        <f>8000000-8000000</f>
        <v>0</v>
      </c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>
        <v>8000000</v>
      </c>
      <c r="AD174" s="75"/>
      <c r="AE174" s="75"/>
      <c r="AF174" s="75"/>
      <c r="AG174" s="75"/>
      <c r="AI174" s="25">
        <f t="shared" si="284"/>
        <v>0</v>
      </c>
      <c r="AJ174" s="75">
        <f t="shared" si="280"/>
        <v>0</v>
      </c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25">
        <f t="shared" si="285"/>
        <v>1</v>
      </c>
      <c r="BF174" s="75">
        <f t="shared" si="281"/>
        <v>8000000</v>
      </c>
      <c r="BG174" s="75">
        <f t="shared" si="286"/>
        <v>0</v>
      </c>
      <c r="BH174" s="75">
        <f t="shared" si="287"/>
        <v>0</v>
      </c>
      <c r="BI174" s="75"/>
      <c r="BJ174" s="75">
        <f t="shared" si="245"/>
        <v>0</v>
      </c>
      <c r="BK174" s="75">
        <f t="shared" si="288"/>
        <v>0</v>
      </c>
      <c r="BL174" s="75">
        <f t="shared" si="289"/>
        <v>0</v>
      </c>
      <c r="BM174" s="75">
        <f t="shared" si="290"/>
        <v>0</v>
      </c>
      <c r="BN174" s="75"/>
      <c r="BO174" s="75">
        <f t="shared" si="291"/>
        <v>0</v>
      </c>
      <c r="BP174" s="75">
        <f t="shared" si="292"/>
        <v>0</v>
      </c>
      <c r="BQ174" s="75">
        <f t="shared" si="293"/>
        <v>0</v>
      </c>
      <c r="BR174" s="75">
        <f t="shared" si="294"/>
        <v>0</v>
      </c>
      <c r="BS174" s="75">
        <f t="shared" si="295"/>
        <v>0</v>
      </c>
      <c r="BT174" s="75">
        <f t="shared" si="296"/>
        <v>0</v>
      </c>
      <c r="BU174" s="75">
        <f t="shared" si="297"/>
        <v>0</v>
      </c>
      <c r="BV174" s="75">
        <f t="shared" si="298"/>
        <v>8000000</v>
      </c>
      <c r="BW174" s="75">
        <f t="shared" si="299"/>
        <v>0</v>
      </c>
      <c r="BX174" s="75"/>
      <c r="BY174" s="75">
        <f t="shared" si="300"/>
        <v>0</v>
      </c>
      <c r="BZ174" s="75">
        <f t="shared" si="300"/>
        <v>0</v>
      </c>
      <c r="CA174" s="25">
        <f t="shared" si="301"/>
        <v>0</v>
      </c>
      <c r="CB174" s="75">
        <f t="shared" si="282"/>
        <v>0</v>
      </c>
      <c r="CC174" s="75"/>
      <c r="CD174" s="75"/>
      <c r="CE174" s="75"/>
      <c r="CF174" s="75"/>
      <c r="CG174" s="75"/>
      <c r="CH174" s="75"/>
      <c r="CI174" s="75"/>
      <c r="CJ174" s="75"/>
      <c r="CK174" s="75"/>
      <c r="CL174" s="75"/>
      <c r="CM174" s="75"/>
      <c r="CN174" s="75"/>
      <c r="CO174" s="75"/>
      <c r="CP174" s="75"/>
      <c r="CQ174" s="75"/>
      <c r="CR174" s="75"/>
      <c r="CS174" s="75"/>
      <c r="CT174" s="75"/>
      <c r="CU174" s="75"/>
      <c r="CV174" s="75"/>
      <c r="CW174" s="25">
        <f t="shared" si="302"/>
        <v>1</v>
      </c>
      <c r="CX174" s="75">
        <f t="shared" si="283"/>
        <v>8000000</v>
      </c>
      <c r="CY174" s="75"/>
      <c r="CZ174" s="75"/>
      <c r="DA174" s="75"/>
      <c r="DB174" s="75">
        <f t="shared" si="246"/>
        <v>0</v>
      </c>
      <c r="DC174" s="75">
        <f t="shared" si="303"/>
        <v>0</v>
      </c>
      <c r="DD174" s="75">
        <f t="shared" si="304"/>
        <v>0</v>
      </c>
      <c r="DE174" s="75">
        <f t="shared" si="305"/>
        <v>0</v>
      </c>
      <c r="DF174" s="75"/>
      <c r="DG174" s="75">
        <f t="shared" si="306"/>
        <v>0</v>
      </c>
      <c r="DH174" s="75">
        <f t="shared" si="307"/>
        <v>0</v>
      </c>
      <c r="DI174" s="75"/>
      <c r="DJ174" s="75">
        <f t="shared" si="308"/>
        <v>0</v>
      </c>
      <c r="DK174" s="75">
        <f t="shared" si="309"/>
        <v>0</v>
      </c>
      <c r="DL174" s="75">
        <f t="shared" si="310"/>
        <v>0</v>
      </c>
      <c r="DM174" s="75">
        <f t="shared" si="311"/>
        <v>0</v>
      </c>
      <c r="DN174" s="75">
        <f t="shared" si="312"/>
        <v>8000000</v>
      </c>
      <c r="DO174" s="75">
        <f t="shared" si="313"/>
        <v>0</v>
      </c>
      <c r="DP174" s="75">
        <f t="shared" si="314"/>
        <v>0</v>
      </c>
      <c r="DQ174" s="75">
        <f t="shared" si="315"/>
        <v>0</v>
      </c>
      <c r="DR174" s="75">
        <f t="shared" si="316"/>
        <v>0</v>
      </c>
    </row>
    <row r="175" spans="1:122" ht="36" customHeight="1" x14ac:dyDescent="0.25">
      <c r="A175" s="246"/>
      <c r="B175" s="85"/>
      <c r="C175" s="86" t="s">
        <v>43</v>
      </c>
      <c r="D175" s="81" t="s">
        <v>42</v>
      </c>
      <c r="E175" s="80">
        <v>510</v>
      </c>
      <c r="F175" s="78" t="s">
        <v>39</v>
      </c>
      <c r="G175" s="228"/>
      <c r="H175" s="79">
        <f t="shared" si="277"/>
        <v>74061157</v>
      </c>
      <c r="I175" s="79">
        <f t="shared" si="278"/>
        <v>32938843</v>
      </c>
      <c r="J175" s="78"/>
      <c r="K175" s="78"/>
      <c r="L175" s="78"/>
      <c r="M175" s="75">
        <f t="shared" si="279"/>
        <v>107000000</v>
      </c>
      <c r="N175" s="45"/>
      <c r="O175" s="75"/>
      <c r="P175" s="75"/>
      <c r="Q175" s="75"/>
      <c r="R175" s="75"/>
      <c r="S175" s="75">
        <v>107000000</v>
      </c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I175" s="25">
        <f t="shared" si="284"/>
        <v>0.69216034579439256</v>
      </c>
      <c r="AJ175" s="75">
        <f t="shared" si="280"/>
        <v>74061157</v>
      </c>
      <c r="AK175" s="75"/>
      <c r="AL175" s="75"/>
      <c r="AM175" s="75"/>
      <c r="AN175" s="75"/>
      <c r="AO175" s="75"/>
      <c r="AP175" s="75">
        <f>+'[1]AGOSTO 2015'!$O$2267</f>
        <v>74061157</v>
      </c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25">
        <f t="shared" si="285"/>
        <v>0.30783965420560744</v>
      </c>
      <c r="BF175" s="75">
        <f t="shared" si="281"/>
        <v>32938843</v>
      </c>
      <c r="BG175" s="75">
        <f t="shared" si="286"/>
        <v>0</v>
      </c>
      <c r="BH175" s="75">
        <f t="shared" si="287"/>
        <v>0</v>
      </c>
      <c r="BI175" s="75"/>
      <c r="BJ175" s="75">
        <f t="shared" si="245"/>
        <v>0</v>
      </c>
      <c r="BK175" s="75">
        <f t="shared" si="288"/>
        <v>0</v>
      </c>
      <c r="BL175" s="75">
        <f t="shared" si="289"/>
        <v>32938843</v>
      </c>
      <c r="BM175" s="75">
        <f t="shared" si="290"/>
        <v>0</v>
      </c>
      <c r="BN175" s="75"/>
      <c r="BO175" s="75">
        <f t="shared" si="291"/>
        <v>0</v>
      </c>
      <c r="BP175" s="75">
        <f t="shared" si="292"/>
        <v>0</v>
      </c>
      <c r="BQ175" s="75">
        <f t="shared" si="293"/>
        <v>0</v>
      </c>
      <c r="BR175" s="75">
        <f t="shared" si="294"/>
        <v>0</v>
      </c>
      <c r="BS175" s="75">
        <f t="shared" si="295"/>
        <v>0</v>
      </c>
      <c r="BT175" s="75">
        <f t="shared" si="296"/>
        <v>0</v>
      </c>
      <c r="BU175" s="75">
        <f t="shared" si="297"/>
        <v>0</v>
      </c>
      <c r="BV175" s="75">
        <f t="shared" si="298"/>
        <v>0</v>
      </c>
      <c r="BW175" s="75">
        <f t="shared" si="299"/>
        <v>0</v>
      </c>
      <c r="BX175" s="75"/>
      <c r="BY175" s="75"/>
      <c r="BZ175" s="75">
        <f t="shared" ref="BZ175:BZ186" si="317">+AG175-BD175</f>
        <v>0</v>
      </c>
      <c r="CA175" s="25">
        <f t="shared" si="301"/>
        <v>0.69216034579439256</v>
      </c>
      <c r="CB175" s="75">
        <f t="shared" si="282"/>
        <v>74061157</v>
      </c>
      <c r="CC175" s="75"/>
      <c r="CD175" s="75"/>
      <c r="CE175" s="75"/>
      <c r="CF175" s="75"/>
      <c r="CG175" s="75"/>
      <c r="CH175" s="75">
        <f>+'[1]AGOSTO 2015'!$H$2265</f>
        <v>74061157</v>
      </c>
      <c r="CI175" s="75"/>
      <c r="CJ175" s="75"/>
      <c r="CK175" s="75"/>
      <c r="CL175" s="75"/>
      <c r="CM175" s="75"/>
      <c r="CN175" s="75"/>
      <c r="CO175" s="75"/>
      <c r="CP175" s="75"/>
      <c r="CQ175" s="75"/>
      <c r="CR175" s="75"/>
      <c r="CS175" s="75"/>
      <c r="CT175" s="75"/>
      <c r="CU175" s="75"/>
      <c r="CV175" s="75"/>
      <c r="CW175" s="25">
        <f t="shared" si="302"/>
        <v>0.30783965420560744</v>
      </c>
      <c r="CX175" s="75">
        <f t="shared" si="283"/>
        <v>32938843</v>
      </c>
      <c r="CY175" s="75"/>
      <c r="CZ175" s="75"/>
      <c r="DA175" s="75"/>
      <c r="DB175" s="75">
        <f t="shared" si="246"/>
        <v>0</v>
      </c>
      <c r="DC175" s="75">
        <f t="shared" si="303"/>
        <v>0</v>
      </c>
      <c r="DD175" s="75">
        <f t="shared" si="304"/>
        <v>32938843</v>
      </c>
      <c r="DE175" s="75">
        <f t="shared" si="305"/>
        <v>0</v>
      </c>
      <c r="DF175" s="75"/>
      <c r="DG175" s="75">
        <f t="shared" si="306"/>
        <v>0</v>
      </c>
      <c r="DH175" s="75">
        <f t="shared" si="307"/>
        <v>0</v>
      </c>
      <c r="DI175" s="75"/>
      <c r="DJ175" s="75">
        <f t="shared" si="308"/>
        <v>0</v>
      </c>
      <c r="DK175" s="75">
        <f t="shared" si="309"/>
        <v>0</v>
      </c>
      <c r="DL175" s="75">
        <f t="shared" si="310"/>
        <v>0</v>
      </c>
      <c r="DM175" s="75">
        <f t="shared" si="311"/>
        <v>0</v>
      </c>
      <c r="DN175" s="75">
        <f t="shared" si="312"/>
        <v>0</v>
      </c>
      <c r="DO175" s="75">
        <f t="shared" si="313"/>
        <v>0</v>
      </c>
      <c r="DP175" s="75">
        <f t="shared" si="314"/>
        <v>0</v>
      </c>
      <c r="DQ175" s="75">
        <f t="shared" si="315"/>
        <v>0</v>
      </c>
      <c r="DR175" s="75">
        <f t="shared" si="316"/>
        <v>0</v>
      </c>
    </row>
    <row r="176" spans="1:122" ht="33" customHeight="1" x14ac:dyDescent="0.25">
      <c r="A176" s="246"/>
      <c r="B176" s="85"/>
      <c r="C176" s="86" t="s">
        <v>41</v>
      </c>
      <c r="D176" s="81" t="s">
        <v>40</v>
      </c>
      <c r="E176" s="80">
        <v>510</v>
      </c>
      <c r="F176" s="78" t="s">
        <v>39</v>
      </c>
      <c r="G176" s="229"/>
      <c r="H176" s="79">
        <f t="shared" si="277"/>
        <v>0</v>
      </c>
      <c r="I176" s="79">
        <f t="shared" si="278"/>
        <v>0</v>
      </c>
      <c r="J176" s="78"/>
      <c r="K176" s="78"/>
      <c r="L176" s="78"/>
      <c r="M176" s="75">
        <f t="shared" si="279"/>
        <v>0</v>
      </c>
      <c r="N176" s="45"/>
      <c r="O176" s="75"/>
      <c r="P176" s="75"/>
      <c r="Q176" s="75">
        <f>15000000-15000000</f>
        <v>0</v>
      </c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I176" s="25" t="e">
        <f t="shared" si="284"/>
        <v>#DIV/0!</v>
      </c>
      <c r="AJ176" s="75">
        <f t="shared" si="280"/>
        <v>0</v>
      </c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25" t="e">
        <f t="shared" si="285"/>
        <v>#DIV/0!</v>
      </c>
      <c r="BF176" s="75">
        <f t="shared" si="281"/>
        <v>0</v>
      </c>
      <c r="BG176" s="75">
        <f t="shared" si="286"/>
        <v>0</v>
      </c>
      <c r="BH176" s="75">
        <f t="shared" si="287"/>
        <v>0</v>
      </c>
      <c r="BI176" s="75"/>
      <c r="BJ176" s="75">
        <f t="shared" si="245"/>
        <v>0</v>
      </c>
      <c r="BK176" s="75">
        <f t="shared" si="288"/>
        <v>0</v>
      </c>
      <c r="BL176" s="75">
        <f t="shared" si="289"/>
        <v>0</v>
      </c>
      <c r="BM176" s="75">
        <f t="shared" si="290"/>
        <v>0</v>
      </c>
      <c r="BN176" s="75"/>
      <c r="BO176" s="75">
        <f t="shared" si="291"/>
        <v>0</v>
      </c>
      <c r="BP176" s="75">
        <f t="shared" si="292"/>
        <v>0</v>
      </c>
      <c r="BQ176" s="75">
        <f t="shared" si="293"/>
        <v>0</v>
      </c>
      <c r="BR176" s="75">
        <f t="shared" si="294"/>
        <v>0</v>
      </c>
      <c r="BS176" s="75">
        <f t="shared" si="295"/>
        <v>0</v>
      </c>
      <c r="BT176" s="75">
        <f t="shared" si="296"/>
        <v>0</v>
      </c>
      <c r="BU176" s="75">
        <f t="shared" si="297"/>
        <v>0</v>
      </c>
      <c r="BV176" s="75">
        <f t="shared" si="298"/>
        <v>0</v>
      </c>
      <c r="BW176" s="75">
        <f t="shared" si="299"/>
        <v>0</v>
      </c>
      <c r="BX176" s="75"/>
      <c r="BY176" s="75"/>
      <c r="BZ176" s="75">
        <f t="shared" si="317"/>
        <v>0</v>
      </c>
      <c r="CA176" s="25" t="e">
        <f t="shared" si="301"/>
        <v>#DIV/0!</v>
      </c>
      <c r="CB176" s="75">
        <f t="shared" si="282"/>
        <v>0</v>
      </c>
      <c r="CC176" s="75"/>
      <c r="CD176" s="75"/>
      <c r="CE176" s="75"/>
      <c r="CF176" s="75"/>
      <c r="CG176" s="75"/>
      <c r="CH176" s="75"/>
      <c r="CI176" s="75"/>
      <c r="CJ176" s="75"/>
      <c r="CK176" s="75"/>
      <c r="CL176" s="75"/>
      <c r="CM176" s="75"/>
      <c r="CN176" s="75"/>
      <c r="CO176" s="75"/>
      <c r="CP176" s="75"/>
      <c r="CQ176" s="75"/>
      <c r="CR176" s="75"/>
      <c r="CS176" s="75"/>
      <c r="CT176" s="75"/>
      <c r="CU176" s="75"/>
      <c r="CV176" s="75"/>
      <c r="CW176" s="25" t="e">
        <f t="shared" si="302"/>
        <v>#DIV/0!</v>
      </c>
      <c r="CX176" s="75">
        <f t="shared" si="283"/>
        <v>0</v>
      </c>
      <c r="CY176" s="75"/>
      <c r="CZ176" s="75"/>
      <c r="DA176" s="75"/>
      <c r="DB176" s="75">
        <f t="shared" si="246"/>
        <v>0</v>
      </c>
      <c r="DC176" s="75">
        <f t="shared" si="303"/>
        <v>0</v>
      </c>
      <c r="DD176" s="75">
        <f t="shared" si="304"/>
        <v>0</v>
      </c>
      <c r="DE176" s="75">
        <f t="shared" si="305"/>
        <v>0</v>
      </c>
      <c r="DF176" s="75"/>
      <c r="DG176" s="75">
        <f t="shared" si="306"/>
        <v>0</v>
      </c>
      <c r="DH176" s="75">
        <f t="shared" si="307"/>
        <v>0</v>
      </c>
      <c r="DI176" s="75"/>
      <c r="DJ176" s="75">
        <f t="shared" si="308"/>
        <v>0</v>
      </c>
      <c r="DK176" s="75">
        <f t="shared" si="309"/>
        <v>0</v>
      </c>
      <c r="DL176" s="75">
        <f t="shared" si="310"/>
        <v>0</v>
      </c>
      <c r="DM176" s="75">
        <f t="shared" si="311"/>
        <v>0</v>
      </c>
      <c r="DN176" s="75">
        <f t="shared" si="312"/>
        <v>0</v>
      </c>
      <c r="DO176" s="75">
        <f t="shared" si="313"/>
        <v>0</v>
      </c>
      <c r="DP176" s="75">
        <f t="shared" si="314"/>
        <v>0</v>
      </c>
      <c r="DQ176" s="75">
        <f t="shared" si="315"/>
        <v>0</v>
      </c>
      <c r="DR176" s="75">
        <f t="shared" si="316"/>
        <v>0</v>
      </c>
    </row>
    <row r="177" spans="1:122" ht="35.25" customHeight="1" x14ac:dyDescent="0.25">
      <c r="A177" s="246"/>
      <c r="B177" s="85" t="s">
        <v>38</v>
      </c>
      <c r="C177" s="86" t="s">
        <v>37</v>
      </c>
      <c r="D177" s="81" t="s">
        <v>36</v>
      </c>
      <c r="E177" s="80">
        <v>510</v>
      </c>
      <c r="F177" s="78" t="s">
        <v>35</v>
      </c>
      <c r="G177" s="78">
        <v>80000000</v>
      </c>
      <c r="H177" s="79">
        <f t="shared" si="277"/>
        <v>57876300</v>
      </c>
      <c r="I177" s="79">
        <f t="shared" si="278"/>
        <v>22123700</v>
      </c>
      <c r="J177" s="78"/>
      <c r="K177" s="78"/>
      <c r="L177" s="78"/>
      <c r="M177" s="75">
        <f t="shared" si="279"/>
        <v>80000000</v>
      </c>
      <c r="N177" s="45"/>
      <c r="O177" s="75"/>
      <c r="P177" s="75"/>
      <c r="Q177" s="75"/>
      <c r="R177" s="75"/>
      <c r="S177" s="75">
        <v>80000000</v>
      </c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I177" s="25">
        <f t="shared" si="284"/>
        <v>0.84095375000000006</v>
      </c>
      <c r="AJ177" s="75">
        <f t="shared" si="280"/>
        <v>67276300</v>
      </c>
      <c r="AK177" s="75"/>
      <c r="AL177" s="75"/>
      <c r="AM177" s="75"/>
      <c r="AN177" s="75"/>
      <c r="AO177" s="75"/>
      <c r="AP177" s="75">
        <f>+'[1]AGOSTO 2015'!$O$2289</f>
        <v>67276300</v>
      </c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25">
        <f t="shared" si="285"/>
        <v>0.15904624999999994</v>
      </c>
      <c r="BF177" s="75">
        <f t="shared" si="281"/>
        <v>12723700</v>
      </c>
      <c r="BG177" s="75">
        <f t="shared" si="286"/>
        <v>0</v>
      </c>
      <c r="BH177" s="75">
        <f t="shared" si="287"/>
        <v>0</v>
      </c>
      <c r="BI177" s="75"/>
      <c r="BJ177" s="75">
        <f t="shared" si="245"/>
        <v>0</v>
      </c>
      <c r="BK177" s="75">
        <f t="shared" si="288"/>
        <v>0</v>
      </c>
      <c r="BL177" s="75">
        <f t="shared" si="289"/>
        <v>12723700</v>
      </c>
      <c r="BM177" s="75">
        <f t="shared" si="290"/>
        <v>0</v>
      </c>
      <c r="BN177" s="75"/>
      <c r="BO177" s="75">
        <f t="shared" si="291"/>
        <v>0</v>
      </c>
      <c r="BP177" s="75">
        <f t="shared" si="292"/>
        <v>0</v>
      </c>
      <c r="BQ177" s="75">
        <f t="shared" si="293"/>
        <v>0</v>
      </c>
      <c r="BR177" s="75">
        <f t="shared" si="294"/>
        <v>0</v>
      </c>
      <c r="BS177" s="75">
        <f t="shared" si="295"/>
        <v>0</v>
      </c>
      <c r="BT177" s="75">
        <f t="shared" si="296"/>
        <v>0</v>
      </c>
      <c r="BU177" s="75">
        <f t="shared" si="297"/>
        <v>0</v>
      </c>
      <c r="BV177" s="75">
        <f t="shared" si="298"/>
        <v>0</v>
      </c>
      <c r="BW177" s="75">
        <f t="shared" si="299"/>
        <v>0</v>
      </c>
      <c r="BX177" s="75"/>
      <c r="BY177" s="75"/>
      <c r="BZ177" s="75">
        <f t="shared" si="317"/>
        <v>0</v>
      </c>
      <c r="CA177" s="25">
        <f t="shared" si="301"/>
        <v>0.72345375000000001</v>
      </c>
      <c r="CB177" s="75">
        <f t="shared" si="282"/>
        <v>57876300</v>
      </c>
      <c r="CC177" s="75"/>
      <c r="CD177" s="75"/>
      <c r="CE177" s="75"/>
      <c r="CF177" s="75"/>
      <c r="CG177" s="75"/>
      <c r="CH177" s="75">
        <f>+'[1]AGOSTO 2015'!$H$2287</f>
        <v>57876300</v>
      </c>
      <c r="CI177" s="75"/>
      <c r="CJ177" s="75"/>
      <c r="CK177" s="75"/>
      <c r="CL177" s="75"/>
      <c r="CM177" s="75"/>
      <c r="CN177" s="75"/>
      <c r="CO177" s="75"/>
      <c r="CP177" s="75"/>
      <c r="CQ177" s="75"/>
      <c r="CR177" s="75"/>
      <c r="CS177" s="75"/>
      <c r="CT177" s="75"/>
      <c r="CU177" s="75"/>
      <c r="CV177" s="75"/>
      <c r="CW177" s="25">
        <f t="shared" si="302"/>
        <v>0.27654624999999999</v>
      </c>
      <c r="CX177" s="75">
        <f t="shared" si="283"/>
        <v>22123700</v>
      </c>
      <c r="CY177" s="75"/>
      <c r="CZ177" s="75"/>
      <c r="DA177" s="75"/>
      <c r="DB177" s="75">
        <f t="shared" si="246"/>
        <v>0</v>
      </c>
      <c r="DC177" s="75">
        <f t="shared" si="303"/>
        <v>0</v>
      </c>
      <c r="DD177" s="75">
        <f t="shared" si="304"/>
        <v>22123700</v>
      </c>
      <c r="DE177" s="75">
        <f t="shared" si="305"/>
        <v>0</v>
      </c>
      <c r="DF177" s="75"/>
      <c r="DG177" s="75">
        <f t="shared" si="306"/>
        <v>0</v>
      </c>
      <c r="DH177" s="75">
        <f t="shared" si="307"/>
        <v>0</v>
      </c>
      <c r="DI177" s="75"/>
      <c r="DJ177" s="75">
        <f t="shared" si="308"/>
        <v>0</v>
      </c>
      <c r="DK177" s="75">
        <f t="shared" si="309"/>
        <v>0</v>
      </c>
      <c r="DL177" s="75">
        <f t="shared" si="310"/>
        <v>0</v>
      </c>
      <c r="DM177" s="75">
        <f t="shared" si="311"/>
        <v>0</v>
      </c>
      <c r="DN177" s="75">
        <f t="shared" si="312"/>
        <v>0</v>
      </c>
      <c r="DO177" s="75">
        <f t="shared" si="313"/>
        <v>0</v>
      </c>
      <c r="DP177" s="75">
        <f t="shared" si="314"/>
        <v>0</v>
      </c>
      <c r="DQ177" s="75">
        <f t="shared" si="315"/>
        <v>0</v>
      </c>
      <c r="DR177" s="75">
        <f t="shared" si="316"/>
        <v>0</v>
      </c>
    </row>
    <row r="178" spans="1:122" ht="25.5" customHeight="1" x14ac:dyDescent="0.25">
      <c r="A178" s="246"/>
      <c r="B178" s="85" t="s">
        <v>34</v>
      </c>
      <c r="C178" s="86" t="s">
        <v>33</v>
      </c>
      <c r="D178" s="81" t="s">
        <v>32</v>
      </c>
      <c r="E178" s="80">
        <v>510</v>
      </c>
      <c r="F178" s="78" t="s">
        <v>12</v>
      </c>
      <c r="G178" s="227">
        <v>120000000</v>
      </c>
      <c r="H178" s="79">
        <f t="shared" si="277"/>
        <v>0</v>
      </c>
      <c r="I178" s="79">
        <f t="shared" si="278"/>
        <v>1000000</v>
      </c>
      <c r="J178" s="78"/>
      <c r="K178" s="78"/>
      <c r="L178" s="78"/>
      <c r="M178" s="75">
        <f t="shared" si="279"/>
        <v>1000000</v>
      </c>
      <c r="N178" s="45"/>
      <c r="O178" s="75"/>
      <c r="P178" s="75"/>
      <c r="Q178" s="75"/>
      <c r="R178" s="75"/>
      <c r="S178" s="75">
        <v>1000000</v>
      </c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I178" s="25">
        <f t="shared" si="284"/>
        <v>0</v>
      </c>
      <c r="AJ178" s="75">
        <f t="shared" si="280"/>
        <v>0</v>
      </c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25">
        <f t="shared" si="285"/>
        <v>1</v>
      </c>
      <c r="BF178" s="75">
        <f t="shared" si="281"/>
        <v>1000000</v>
      </c>
      <c r="BG178" s="75">
        <f t="shared" si="286"/>
        <v>0</v>
      </c>
      <c r="BH178" s="75">
        <f t="shared" si="287"/>
        <v>0</v>
      </c>
      <c r="BI178" s="75"/>
      <c r="BJ178" s="75">
        <f t="shared" si="245"/>
        <v>0</v>
      </c>
      <c r="BK178" s="75">
        <f t="shared" si="288"/>
        <v>0</v>
      </c>
      <c r="BL178" s="75">
        <f t="shared" si="289"/>
        <v>1000000</v>
      </c>
      <c r="BM178" s="75">
        <f t="shared" si="290"/>
        <v>0</v>
      </c>
      <c r="BN178" s="75"/>
      <c r="BO178" s="75">
        <f t="shared" si="291"/>
        <v>0</v>
      </c>
      <c r="BP178" s="75">
        <f t="shared" si="292"/>
        <v>0</v>
      </c>
      <c r="BQ178" s="75">
        <f t="shared" si="293"/>
        <v>0</v>
      </c>
      <c r="BR178" s="75">
        <f t="shared" si="294"/>
        <v>0</v>
      </c>
      <c r="BS178" s="75">
        <f t="shared" si="295"/>
        <v>0</v>
      </c>
      <c r="BT178" s="75">
        <f t="shared" si="296"/>
        <v>0</v>
      </c>
      <c r="BU178" s="75">
        <f t="shared" si="297"/>
        <v>0</v>
      </c>
      <c r="BV178" s="75">
        <f t="shared" si="298"/>
        <v>0</v>
      </c>
      <c r="BW178" s="75">
        <f t="shared" si="299"/>
        <v>0</v>
      </c>
      <c r="BX178" s="75"/>
      <c r="BY178" s="75"/>
      <c r="BZ178" s="75">
        <f t="shared" si="317"/>
        <v>0</v>
      </c>
      <c r="CA178" s="25">
        <f t="shared" si="301"/>
        <v>0</v>
      </c>
      <c r="CB178" s="75">
        <f t="shared" si="282"/>
        <v>0</v>
      </c>
      <c r="CC178" s="75"/>
      <c r="CD178" s="75"/>
      <c r="CE178" s="75"/>
      <c r="CF178" s="75"/>
      <c r="CG178" s="75"/>
      <c r="CH178" s="75"/>
      <c r="CI178" s="75"/>
      <c r="CJ178" s="75"/>
      <c r="CK178" s="75"/>
      <c r="CL178" s="75"/>
      <c r="CM178" s="75"/>
      <c r="CN178" s="75"/>
      <c r="CO178" s="75"/>
      <c r="CP178" s="75"/>
      <c r="CQ178" s="75"/>
      <c r="CR178" s="75"/>
      <c r="CS178" s="75"/>
      <c r="CT178" s="75"/>
      <c r="CU178" s="75"/>
      <c r="CV178" s="75"/>
      <c r="CW178" s="25">
        <f t="shared" si="302"/>
        <v>1</v>
      </c>
      <c r="CX178" s="75">
        <f t="shared" si="283"/>
        <v>1000000</v>
      </c>
      <c r="CY178" s="75"/>
      <c r="CZ178" s="75"/>
      <c r="DA178" s="75"/>
      <c r="DB178" s="75">
        <f t="shared" si="246"/>
        <v>0</v>
      </c>
      <c r="DC178" s="75">
        <f t="shared" si="303"/>
        <v>0</v>
      </c>
      <c r="DD178" s="75">
        <f t="shared" si="304"/>
        <v>1000000</v>
      </c>
      <c r="DE178" s="75">
        <f t="shared" si="305"/>
        <v>0</v>
      </c>
      <c r="DF178" s="75"/>
      <c r="DG178" s="75">
        <f t="shared" si="306"/>
        <v>0</v>
      </c>
      <c r="DH178" s="75">
        <f t="shared" si="307"/>
        <v>0</v>
      </c>
      <c r="DI178" s="75"/>
      <c r="DJ178" s="75">
        <f t="shared" si="308"/>
        <v>0</v>
      </c>
      <c r="DK178" s="75">
        <f t="shared" si="309"/>
        <v>0</v>
      </c>
      <c r="DL178" s="75">
        <f t="shared" si="310"/>
        <v>0</v>
      </c>
      <c r="DM178" s="75">
        <f t="shared" si="311"/>
        <v>0</v>
      </c>
      <c r="DN178" s="75">
        <f t="shared" si="312"/>
        <v>0</v>
      </c>
      <c r="DO178" s="75">
        <f t="shared" si="313"/>
        <v>0</v>
      </c>
      <c r="DP178" s="75">
        <f t="shared" si="314"/>
        <v>0</v>
      </c>
      <c r="DQ178" s="75">
        <f t="shared" si="315"/>
        <v>0</v>
      </c>
      <c r="DR178" s="75">
        <f t="shared" si="316"/>
        <v>0</v>
      </c>
    </row>
    <row r="179" spans="1:122" ht="24" customHeight="1" x14ac:dyDescent="0.25">
      <c r="A179" s="246"/>
      <c r="B179" s="85"/>
      <c r="C179" s="86" t="s">
        <v>31</v>
      </c>
      <c r="D179" s="81" t="s">
        <v>30</v>
      </c>
      <c r="E179" s="80">
        <v>510</v>
      </c>
      <c r="F179" s="78" t="s">
        <v>12</v>
      </c>
      <c r="G179" s="228"/>
      <c r="H179" s="79">
        <f t="shared" si="277"/>
        <v>0</v>
      </c>
      <c r="I179" s="79">
        <f t="shared" si="278"/>
        <v>5000000</v>
      </c>
      <c r="J179" s="78"/>
      <c r="K179" s="78"/>
      <c r="L179" s="78"/>
      <c r="M179" s="75">
        <f t="shared" si="279"/>
        <v>5000000</v>
      </c>
      <c r="N179" s="45"/>
      <c r="O179" s="75"/>
      <c r="P179" s="75"/>
      <c r="Q179" s="75"/>
      <c r="R179" s="75"/>
      <c r="S179" s="75">
        <v>5000000</v>
      </c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I179" s="25">
        <f t="shared" si="284"/>
        <v>0</v>
      </c>
      <c r="AJ179" s="75">
        <f t="shared" si="280"/>
        <v>0</v>
      </c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25">
        <f t="shared" si="285"/>
        <v>1</v>
      </c>
      <c r="BF179" s="75">
        <f t="shared" si="281"/>
        <v>5000000</v>
      </c>
      <c r="BG179" s="75">
        <f t="shared" si="286"/>
        <v>0</v>
      </c>
      <c r="BH179" s="75">
        <f t="shared" si="287"/>
        <v>0</v>
      </c>
      <c r="BI179" s="75"/>
      <c r="BJ179" s="75">
        <f t="shared" si="245"/>
        <v>0</v>
      </c>
      <c r="BK179" s="75">
        <f t="shared" si="288"/>
        <v>0</v>
      </c>
      <c r="BL179" s="75">
        <f t="shared" si="289"/>
        <v>5000000</v>
      </c>
      <c r="BM179" s="75">
        <f t="shared" si="290"/>
        <v>0</v>
      </c>
      <c r="BN179" s="75"/>
      <c r="BO179" s="75">
        <f t="shared" si="291"/>
        <v>0</v>
      </c>
      <c r="BP179" s="75">
        <f t="shared" si="292"/>
        <v>0</v>
      </c>
      <c r="BQ179" s="75">
        <f t="shared" si="293"/>
        <v>0</v>
      </c>
      <c r="BR179" s="75">
        <f t="shared" si="294"/>
        <v>0</v>
      </c>
      <c r="BS179" s="75">
        <f t="shared" si="295"/>
        <v>0</v>
      </c>
      <c r="BT179" s="75">
        <f t="shared" si="296"/>
        <v>0</v>
      </c>
      <c r="BU179" s="75">
        <f t="shared" si="297"/>
        <v>0</v>
      </c>
      <c r="BV179" s="75">
        <f t="shared" si="298"/>
        <v>0</v>
      </c>
      <c r="BW179" s="75">
        <f t="shared" si="299"/>
        <v>0</v>
      </c>
      <c r="BX179" s="75"/>
      <c r="BY179" s="75"/>
      <c r="BZ179" s="75">
        <f t="shared" si="317"/>
        <v>0</v>
      </c>
      <c r="CA179" s="25">
        <f t="shared" si="301"/>
        <v>0</v>
      </c>
      <c r="CB179" s="75">
        <f t="shared" si="282"/>
        <v>0</v>
      </c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25">
        <f t="shared" si="302"/>
        <v>1</v>
      </c>
      <c r="CX179" s="75">
        <f t="shared" si="283"/>
        <v>5000000</v>
      </c>
      <c r="CY179" s="75"/>
      <c r="CZ179" s="75"/>
      <c r="DA179" s="75"/>
      <c r="DB179" s="75">
        <f t="shared" si="246"/>
        <v>0</v>
      </c>
      <c r="DC179" s="75">
        <f t="shared" si="303"/>
        <v>0</v>
      </c>
      <c r="DD179" s="75">
        <f t="shared" si="304"/>
        <v>5000000</v>
      </c>
      <c r="DE179" s="75">
        <f t="shared" si="305"/>
        <v>0</v>
      </c>
      <c r="DF179" s="75"/>
      <c r="DG179" s="75">
        <f t="shared" si="306"/>
        <v>0</v>
      </c>
      <c r="DH179" s="75">
        <f t="shared" si="307"/>
        <v>0</v>
      </c>
      <c r="DI179" s="75"/>
      <c r="DJ179" s="75">
        <f t="shared" si="308"/>
        <v>0</v>
      </c>
      <c r="DK179" s="75">
        <f t="shared" si="309"/>
        <v>0</v>
      </c>
      <c r="DL179" s="75">
        <f t="shared" si="310"/>
        <v>0</v>
      </c>
      <c r="DM179" s="75">
        <f t="shared" si="311"/>
        <v>0</v>
      </c>
      <c r="DN179" s="75">
        <f t="shared" si="312"/>
        <v>0</v>
      </c>
      <c r="DO179" s="75">
        <f t="shared" si="313"/>
        <v>0</v>
      </c>
      <c r="DP179" s="75">
        <f t="shared" si="314"/>
        <v>0</v>
      </c>
      <c r="DQ179" s="75">
        <f t="shared" si="315"/>
        <v>0</v>
      </c>
      <c r="DR179" s="75">
        <f t="shared" si="316"/>
        <v>0</v>
      </c>
    </row>
    <row r="180" spans="1:122" ht="51" customHeight="1" x14ac:dyDescent="0.25">
      <c r="A180" s="246"/>
      <c r="B180" s="85"/>
      <c r="C180" s="86" t="s">
        <v>29</v>
      </c>
      <c r="D180" s="81" t="s">
        <v>28</v>
      </c>
      <c r="E180" s="80">
        <v>510</v>
      </c>
      <c r="F180" s="78" t="s">
        <v>12</v>
      </c>
      <c r="G180" s="228"/>
      <c r="H180" s="79">
        <f t="shared" si="277"/>
        <v>23930000</v>
      </c>
      <c r="I180" s="79">
        <f t="shared" si="278"/>
        <v>87070000</v>
      </c>
      <c r="J180" s="78"/>
      <c r="K180" s="78"/>
      <c r="L180" s="78"/>
      <c r="M180" s="75">
        <f t="shared" si="279"/>
        <v>111000000</v>
      </c>
      <c r="N180" s="45"/>
      <c r="O180" s="75"/>
      <c r="P180" s="75"/>
      <c r="Q180" s="75"/>
      <c r="R180" s="75"/>
      <c r="S180" s="75">
        <v>111000000</v>
      </c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I180" s="25">
        <f t="shared" si="284"/>
        <v>0.27027027027027029</v>
      </c>
      <c r="AJ180" s="75">
        <f t="shared" si="280"/>
        <v>30000000</v>
      </c>
      <c r="AK180" s="75"/>
      <c r="AL180" s="75"/>
      <c r="AM180" s="75"/>
      <c r="AN180" s="75"/>
      <c r="AO180" s="75"/>
      <c r="AP180" s="75">
        <f>+'[1]AGOSTO 2015'!$O$2319</f>
        <v>30000000</v>
      </c>
      <c r="AQ180" s="75"/>
      <c r="AR180" s="75"/>
      <c r="AS180" s="75"/>
      <c r="AT180" s="75"/>
      <c r="AU180" s="75"/>
      <c r="AV180" s="75"/>
      <c r="AW180" s="75"/>
      <c r="AX180" s="75"/>
      <c r="AY180" s="75"/>
      <c r="AZ180" s="75"/>
      <c r="BA180" s="75"/>
      <c r="BB180" s="75"/>
      <c r="BC180" s="75"/>
      <c r="BD180" s="75"/>
      <c r="BE180" s="25">
        <f t="shared" si="285"/>
        <v>0.72972972972972971</v>
      </c>
      <c r="BF180" s="75">
        <f t="shared" si="281"/>
        <v>81000000</v>
      </c>
      <c r="BG180" s="75">
        <f t="shared" si="286"/>
        <v>0</v>
      </c>
      <c r="BH180" s="75">
        <f t="shared" si="287"/>
        <v>0</v>
      </c>
      <c r="BI180" s="75"/>
      <c r="BJ180" s="75">
        <f t="shared" si="245"/>
        <v>0</v>
      </c>
      <c r="BK180" s="75">
        <f t="shared" si="288"/>
        <v>0</v>
      </c>
      <c r="BL180" s="75">
        <f t="shared" si="289"/>
        <v>81000000</v>
      </c>
      <c r="BM180" s="75">
        <f t="shared" si="290"/>
        <v>0</v>
      </c>
      <c r="BN180" s="75"/>
      <c r="BO180" s="75">
        <f t="shared" si="291"/>
        <v>0</v>
      </c>
      <c r="BP180" s="75">
        <f t="shared" si="292"/>
        <v>0</v>
      </c>
      <c r="BQ180" s="75">
        <f t="shared" si="293"/>
        <v>0</v>
      </c>
      <c r="BR180" s="75">
        <f t="shared" si="294"/>
        <v>0</v>
      </c>
      <c r="BS180" s="75">
        <f t="shared" si="295"/>
        <v>0</v>
      </c>
      <c r="BT180" s="75">
        <f t="shared" si="296"/>
        <v>0</v>
      </c>
      <c r="BU180" s="75">
        <f t="shared" si="297"/>
        <v>0</v>
      </c>
      <c r="BV180" s="75">
        <f t="shared" si="298"/>
        <v>0</v>
      </c>
      <c r="BW180" s="75">
        <f t="shared" si="299"/>
        <v>0</v>
      </c>
      <c r="BX180" s="75"/>
      <c r="BY180" s="75"/>
      <c r="BZ180" s="75">
        <f t="shared" si="317"/>
        <v>0</v>
      </c>
      <c r="CA180" s="25">
        <f t="shared" si="301"/>
        <v>0.21558558558558558</v>
      </c>
      <c r="CB180" s="75">
        <f t="shared" si="282"/>
        <v>23930000</v>
      </c>
      <c r="CC180" s="75"/>
      <c r="CD180" s="75"/>
      <c r="CE180" s="75"/>
      <c r="CF180" s="75"/>
      <c r="CG180" s="75"/>
      <c r="CH180" s="75">
        <f>+'[1]AGOSTO 2015'!$H$2317</f>
        <v>23930000</v>
      </c>
      <c r="CI180" s="75"/>
      <c r="CJ180" s="75"/>
      <c r="CK180" s="75"/>
      <c r="CL180" s="75"/>
      <c r="CM180" s="75"/>
      <c r="CN180" s="75"/>
      <c r="CO180" s="75"/>
      <c r="CP180" s="75"/>
      <c r="CQ180" s="75"/>
      <c r="CR180" s="75"/>
      <c r="CS180" s="75"/>
      <c r="CT180" s="75"/>
      <c r="CU180" s="75"/>
      <c r="CV180" s="75"/>
      <c r="CW180" s="25">
        <f t="shared" si="302"/>
        <v>0.7844144144144144</v>
      </c>
      <c r="CX180" s="75">
        <f t="shared" si="283"/>
        <v>87070000</v>
      </c>
      <c r="CY180" s="75"/>
      <c r="CZ180" s="75"/>
      <c r="DA180" s="75"/>
      <c r="DB180" s="75">
        <f t="shared" si="246"/>
        <v>0</v>
      </c>
      <c r="DC180" s="75">
        <f t="shared" si="303"/>
        <v>0</v>
      </c>
      <c r="DD180" s="75">
        <f t="shared" si="304"/>
        <v>87070000</v>
      </c>
      <c r="DE180" s="75">
        <f t="shared" si="305"/>
        <v>0</v>
      </c>
      <c r="DF180" s="75"/>
      <c r="DG180" s="75">
        <f t="shared" si="306"/>
        <v>0</v>
      </c>
      <c r="DH180" s="75">
        <f t="shared" si="307"/>
        <v>0</v>
      </c>
      <c r="DI180" s="75"/>
      <c r="DJ180" s="75">
        <f t="shared" si="308"/>
        <v>0</v>
      </c>
      <c r="DK180" s="75">
        <f t="shared" si="309"/>
        <v>0</v>
      </c>
      <c r="DL180" s="75">
        <f t="shared" si="310"/>
        <v>0</v>
      </c>
      <c r="DM180" s="75">
        <f t="shared" si="311"/>
        <v>0</v>
      </c>
      <c r="DN180" s="75">
        <f t="shared" si="312"/>
        <v>0</v>
      </c>
      <c r="DO180" s="75">
        <f t="shared" si="313"/>
        <v>0</v>
      </c>
      <c r="DP180" s="75">
        <f t="shared" si="314"/>
        <v>0</v>
      </c>
      <c r="DQ180" s="75">
        <f t="shared" si="315"/>
        <v>0</v>
      </c>
      <c r="DR180" s="75">
        <f t="shared" si="316"/>
        <v>0</v>
      </c>
    </row>
    <row r="181" spans="1:122" ht="23.25" customHeight="1" x14ac:dyDescent="0.25">
      <c r="A181" s="246"/>
      <c r="B181" s="85"/>
      <c r="C181" s="86" t="s">
        <v>27</v>
      </c>
      <c r="D181" s="81" t="s">
        <v>26</v>
      </c>
      <c r="E181" s="80">
        <v>510</v>
      </c>
      <c r="F181" s="78" t="s">
        <v>12</v>
      </c>
      <c r="G181" s="228"/>
      <c r="H181" s="79">
        <f t="shared" si="277"/>
        <v>0</v>
      </c>
      <c r="I181" s="79">
        <f t="shared" si="278"/>
        <v>3000000</v>
      </c>
      <c r="J181" s="78"/>
      <c r="K181" s="78"/>
      <c r="L181" s="78"/>
      <c r="M181" s="75">
        <f t="shared" si="279"/>
        <v>3000000</v>
      </c>
      <c r="N181" s="45"/>
      <c r="O181" s="75"/>
      <c r="P181" s="75"/>
      <c r="Q181" s="75"/>
      <c r="R181" s="75"/>
      <c r="S181" s="75">
        <v>3000000</v>
      </c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I181" s="25">
        <f t="shared" si="284"/>
        <v>0</v>
      </c>
      <c r="AJ181" s="75">
        <f t="shared" si="280"/>
        <v>0</v>
      </c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  <c r="AY181" s="75"/>
      <c r="AZ181" s="75"/>
      <c r="BA181" s="75"/>
      <c r="BB181" s="75"/>
      <c r="BC181" s="75"/>
      <c r="BD181" s="75"/>
      <c r="BE181" s="25">
        <f t="shared" si="285"/>
        <v>1</v>
      </c>
      <c r="BF181" s="75">
        <f t="shared" si="281"/>
        <v>3000000</v>
      </c>
      <c r="BG181" s="75">
        <f t="shared" si="286"/>
        <v>0</v>
      </c>
      <c r="BH181" s="75">
        <f t="shared" si="287"/>
        <v>0</v>
      </c>
      <c r="BI181" s="75"/>
      <c r="BJ181" s="75">
        <f t="shared" si="245"/>
        <v>0</v>
      </c>
      <c r="BK181" s="75">
        <f t="shared" si="288"/>
        <v>0</v>
      </c>
      <c r="BL181" s="75">
        <f t="shared" si="289"/>
        <v>3000000</v>
      </c>
      <c r="BM181" s="75">
        <f t="shared" si="290"/>
        <v>0</v>
      </c>
      <c r="BN181" s="75"/>
      <c r="BO181" s="75">
        <f t="shared" si="291"/>
        <v>0</v>
      </c>
      <c r="BP181" s="75">
        <f t="shared" si="292"/>
        <v>0</v>
      </c>
      <c r="BQ181" s="75">
        <f t="shared" si="293"/>
        <v>0</v>
      </c>
      <c r="BR181" s="75">
        <f t="shared" si="294"/>
        <v>0</v>
      </c>
      <c r="BS181" s="75">
        <f t="shared" si="295"/>
        <v>0</v>
      </c>
      <c r="BT181" s="75">
        <f t="shared" si="296"/>
        <v>0</v>
      </c>
      <c r="BU181" s="75">
        <f t="shared" si="297"/>
        <v>0</v>
      </c>
      <c r="BV181" s="75">
        <f t="shared" si="298"/>
        <v>0</v>
      </c>
      <c r="BW181" s="75">
        <f t="shared" si="299"/>
        <v>0</v>
      </c>
      <c r="BX181" s="75"/>
      <c r="BY181" s="75"/>
      <c r="BZ181" s="75">
        <f t="shared" si="317"/>
        <v>0</v>
      </c>
      <c r="CA181" s="25">
        <f t="shared" si="301"/>
        <v>0</v>
      </c>
      <c r="CB181" s="75">
        <f t="shared" si="282"/>
        <v>0</v>
      </c>
      <c r="CC181" s="75"/>
      <c r="CD181" s="75"/>
      <c r="CE181" s="75"/>
      <c r="CF181" s="75"/>
      <c r="CG181" s="75"/>
      <c r="CH181" s="75"/>
      <c r="CI181" s="75"/>
      <c r="CJ181" s="75"/>
      <c r="CK181" s="75"/>
      <c r="CL181" s="75"/>
      <c r="CM181" s="75"/>
      <c r="CN181" s="75"/>
      <c r="CO181" s="75"/>
      <c r="CP181" s="75"/>
      <c r="CQ181" s="75"/>
      <c r="CR181" s="75"/>
      <c r="CS181" s="75"/>
      <c r="CT181" s="75"/>
      <c r="CU181" s="75"/>
      <c r="CV181" s="75"/>
      <c r="CW181" s="25">
        <f t="shared" si="302"/>
        <v>1</v>
      </c>
      <c r="CX181" s="75">
        <f t="shared" si="283"/>
        <v>3000000</v>
      </c>
      <c r="CY181" s="75"/>
      <c r="CZ181" s="75"/>
      <c r="DA181" s="75"/>
      <c r="DB181" s="75">
        <f t="shared" si="246"/>
        <v>0</v>
      </c>
      <c r="DC181" s="75">
        <f t="shared" si="303"/>
        <v>0</v>
      </c>
      <c r="DD181" s="75">
        <f t="shared" si="304"/>
        <v>3000000</v>
      </c>
      <c r="DE181" s="75">
        <f t="shared" si="305"/>
        <v>0</v>
      </c>
      <c r="DF181" s="75"/>
      <c r="DG181" s="75">
        <f t="shared" si="306"/>
        <v>0</v>
      </c>
      <c r="DH181" s="75">
        <f t="shared" si="307"/>
        <v>0</v>
      </c>
      <c r="DI181" s="75"/>
      <c r="DJ181" s="75">
        <f t="shared" si="308"/>
        <v>0</v>
      </c>
      <c r="DK181" s="75">
        <f t="shared" si="309"/>
        <v>0</v>
      </c>
      <c r="DL181" s="75">
        <f t="shared" si="310"/>
        <v>0</v>
      </c>
      <c r="DM181" s="75">
        <f t="shared" si="311"/>
        <v>0</v>
      </c>
      <c r="DN181" s="75">
        <f t="shared" si="312"/>
        <v>0</v>
      </c>
      <c r="DO181" s="75">
        <f t="shared" si="313"/>
        <v>0</v>
      </c>
      <c r="DP181" s="75">
        <f t="shared" si="314"/>
        <v>0</v>
      </c>
      <c r="DQ181" s="75">
        <f t="shared" si="315"/>
        <v>0</v>
      </c>
      <c r="DR181" s="75">
        <f t="shared" si="316"/>
        <v>0</v>
      </c>
    </row>
    <row r="182" spans="1:122" ht="23.25" customHeight="1" x14ac:dyDescent="0.25">
      <c r="A182" s="246"/>
      <c r="B182" s="85"/>
      <c r="C182" s="86" t="s">
        <v>25</v>
      </c>
      <c r="D182" s="81" t="s">
        <v>24</v>
      </c>
      <c r="E182" s="80">
        <v>510</v>
      </c>
      <c r="F182" s="78" t="s">
        <v>12</v>
      </c>
      <c r="G182" s="229"/>
      <c r="H182" s="79">
        <f t="shared" si="277"/>
        <v>80144495</v>
      </c>
      <c r="I182" s="79">
        <f t="shared" si="278"/>
        <v>19855505</v>
      </c>
      <c r="J182" s="78"/>
      <c r="K182" s="78"/>
      <c r="L182" s="78"/>
      <c r="M182" s="75">
        <f t="shared" si="279"/>
        <v>100000000</v>
      </c>
      <c r="N182" s="4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>
        <v>100000000</v>
      </c>
      <c r="AC182" s="75"/>
      <c r="AD182" s="75"/>
      <c r="AE182" s="75"/>
      <c r="AF182" s="75"/>
      <c r="AG182" s="75"/>
      <c r="AI182" s="25">
        <f t="shared" si="284"/>
        <v>0.99939999999999996</v>
      </c>
      <c r="AJ182" s="75">
        <f t="shared" si="280"/>
        <v>99940000</v>
      </c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>
        <f>+'[1]AGOSTO 2015'!$G$2329</f>
        <v>99940000</v>
      </c>
      <c r="AZ182" s="75"/>
      <c r="BA182" s="75"/>
      <c r="BB182" s="75"/>
      <c r="BC182" s="75"/>
      <c r="BD182" s="75"/>
      <c r="BE182" s="25">
        <f t="shared" si="285"/>
        <v>6.0000000000004494E-4</v>
      </c>
      <c r="BF182" s="75">
        <f t="shared" si="281"/>
        <v>60000</v>
      </c>
      <c r="BG182" s="75">
        <f t="shared" si="286"/>
        <v>0</v>
      </c>
      <c r="BH182" s="75">
        <f t="shared" si="287"/>
        <v>0</v>
      </c>
      <c r="BI182" s="75"/>
      <c r="BJ182" s="75">
        <f t="shared" si="245"/>
        <v>0</v>
      </c>
      <c r="BK182" s="75">
        <f t="shared" si="288"/>
        <v>0</v>
      </c>
      <c r="BL182" s="75">
        <f t="shared" si="289"/>
        <v>0</v>
      </c>
      <c r="BM182" s="75">
        <f t="shared" si="290"/>
        <v>0</v>
      </c>
      <c r="BN182" s="75"/>
      <c r="BO182" s="75">
        <f t="shared" si="291"/>
        <v>0</v>
      </c>
      <c r="BP182" s="75">
        <f t="shared" si="292"/>
        <v>0</v>
      </c>
      <c r="BQ182" s="75">
        <f t="shared" si="293"/>
        <v>0</v>
      </c>
      <c r="BR182" s="75">
        <f t="shared" si="294"/>
        <v>0</v>
      </c>
      <c r="BS182" s="75">
        <f t="shared" si="295"/>
        <v>0</v>
      </c>
      <c r="BT182" s="75">
        <f t="shared" si="296"/>
        <v>0</v>
      </c>
      <c r="BU182" s="75">
        <f t="shared" si="297"/>
        <v>60000</v>
      </c>
      <c r="BV182" s="75">
        <f t="shared" si="298"/>
        <v>0</v>
      </c>
      <c r="BW182" s="75">
        <f t="shared" si="299"/>
        <v>0</v>
      </c>
      <c r="BX182" s="75"/>
      <c r="BY182" s="75"/>
      <c r="BZ182" s="75">
        <f t="shared" si="317"/>
        <v>0</v>
      </c>
      <c r="CA182" s="25">
        <f t="shared" si="301"/>
        <v>0.80144495000000004</v>
      </c>
      <c r="CB182" s="75">
        <f t="shared" si="282"/>
        <v>80144495</v>
      </c>
      <c r="CC182" s="75"/>
      <c r="CD182" s="75"/>
      <c r="CE182" s="75"/>
      <c r="CF182" s="75"/>
      <c r="CG182" s="75"/>
      <c r="CH182" s="75"/>
      <c r="CI182" s="75"/>
      <c r="CJ182" s="75"/>
      <c r="CK182" s="75"/>
      <c r="CL182" s="75"/>
      <c r="CM182" s="75"/>
      <c r="CN182" s="75"/>
      <c r="CO182" s="75"/>
      <c r="CP182" s="75"/>
      <c r="CQ182" s="75">
        <f>+'[1]AGOSTO 2015'!$H$2329</f>
        <v>80144495</v>
      </c>
      <c r="CR182" s="75"/>
      <c r="CS182" s="75"/>
      <c r="CT182" s="75"/>
      <c r="CU182" s="75"/>
      <c r="CV182" s="75"/>
      <c r="CW182" s="25">
        <f t="shared" si="302"/>
        <v>0.19855504999999996</v>
      </c>
      <c r="CX182" s="75">
        <f t="shared" si="283"/>
        <v>19855505</v>
      </c>
      <c r="CY182" s="75"/>
      <c r="CZ182" s="75"/>
      <c r="DA182" s="75"/>
      <c r="DB182" s="75">
        <f t="shared" si="246"/>
        <v>0</v>
      </c>
      <c r="DC182" s="75">
        <f t="shared" si="303"/>
        <v>0</v>
      </c>
      <c r="DD182" s="75">
        <f t="shared" si="304"/>
        <v>0</v>
      </c>
      <c r="DE182" s="75">
        <f t="shared" si="305"/>
        <v>0</v>
      </c>
      <c r="DF182" s="75"/>
      <c r="DG182" s="75">
        <f t="shared" si="306"/>
        <v>0</v>
      </c>
      <c r="DH182" s="75">
        <f t="shared" si="307"/>
        <v>0</v>
      </c>
      <c r="DI182" s="75"/>
      <c r="DJ182" s="75">
        <f t="shared" si="308"/>
        <v>0</v>
      </c>
      <c r="DK182" s="75">
        <f t="shared" si="309"/>
        <v>0</v>
      </c>
      <c r="DL182" s="75">
        <f t="shared" si="310"/>
        <v>0</v>
      </c>
      <c r="DM182" s="75">
        <f t="shared" si="311"/>
        <v>19855505</v>
      </c>
      <c r="DN182" s="75">
        <f t="shared" si="312"/>
        <v>0</v>
      </c>
      <c r="DO182" s="75">
        <f t="shared" si="313"/>
        <v>0</v>
      </c>
      <c r="DP182" s="75">
        <f t="shared" si="314"/>
        <v>0</v>
      </c>
      <c r="DQ182" s="75">
        <f t="shared" si="315"/>
        <v>0</v>
      </c>
      <c r="DR182" s="75">
        <f t="shared" si="316"/>
        <v>0</v>
      </c>
    </row>
    <row r="183" spans="1:122" ht="38.25" customHeight="1" x14ac:dyDescent="0.25">
      <c r="A183" s="246"/>
      <c r="B183" s="85" t="s">
        <v>23</v>
      </c>
      <c r="C183" s="86" t="s">
        <v>22</v>
      </c>
      <c r="D183" s="81" t="s">
        <v>21</v>
      </c>
      <c r="E183" s="80">
        <v>510</v>
      </c>
      <c r="F183" s="78" t="s">
        <v>12</v>
      </c>
      <c r="G183" s="78">
        <v>5000000</v>
      </c>
      <c r="H183" s="79">
        <f t="shared" si="277"/>
        <v>0</v>
      </c>
      <c r="I183" s="79">
        <f t="shared" si="278"/>
        <v>0</v>
      </c>
      <c r="J183" s="78"/>
      <c r="K183" s="78"/>
      <c r="L183" s="78"/>
      <c r="M183" s="75">
        <f t="shared" si="279"/>
        <v>0</v>
      </c>
      <c r="N183" s="45"/>
      <c r="O183" s="75"/>
      <c r="P183" s="75"/>
      <c r="Q183" s="75"/>
      <c r="R183" s="75"/>
      <c r="S183" s="75">
        <f>5000000-5000000</f>
        <v>0</v>
      </c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I183" s="25" t="e">
        <f t="shared" si="284"/>
        <v>#DIV/0!</v>
      </c>
      <c r="AJ183" s="75">
        <f t="shared" si="280"/>
        <v>0</v>
      </c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25" t="e">
        <f t="shared" si="285"/>
        <v>#DIV/0!</v>
      </c>
      <c r="BF183" s="75">
        <f t="shared" si="281"/>
        <v>0</v>
      </c>
      <c r="BG183" s="75">
        <f t="shared" si="286"/>
        <v>0</v>
      </c>
      <c r="BH183" s="75">
        <f t="shared" si="287"/>
        <v>0</v>
      </c>
      <c r="BI183" s="75"/>
      <c r="BJ183" s="75">
        <f t="shared" si="245"/>
        <v>0</v>
      </c>
      <c r="BK183" s="75">
        <f t="shared" si="288"/>
        <v>0</v>
      </c>
      <c r="BL183" s="75">
        <f t="shared" si="289"/>
        <v>0</v>
      </c>
      <c r="BM183" s="75">
        <f t="shared" si="290"/>
        <v>0</v>
      </c>
      <c r="BN183" s="75"/>
      <c r="BO183" s="75">
        <f t="shared" si="291"/>
        <v>0</v>
      </c>
      <c r="BP183" s="75">
        <f t="shared" si="292"/>
        <v>0</v>
      </c>
      <c r="BQ183" s="75">
        <f t="shared" si="293"/>
        <v>0</v>
      </c>
      <c r="BR183" s="75">
        <f t="shared" si="294"/>
        <v>0</v>
      </c>
      <c r="BS183" s="75">
        <f t="shared" si="295"/>
        <v>0</v>
      </c>
      <c r="BT183" s="75">
        <f t="shared" si="296"/>
        <v>0</v>
      </c>
      <c r="BU183" s="75">
        <f t="shared" si="297"/>
        <v>0</v>
      </c>
      <c r="BV183" s="75">
        <f t="shared" si="298"/>
        <v>0</v>
      </c>
      <c r="BW183" s="75">
        <f t="shared" si="299"/>
        <v>0</v>
      </c>
      <c r="BX183" s="75"/>
      <c r="BY183" s="75"/>
      <c r="BZ183" s="75">
        <f t="shared" si="317"/>
        <v>0</v>
      </c>
      <c r="CA183" s="25" t="e">
        <f t="shared" si="301"/>
        <v>#DIV/0!</v>
      </c>
      <c r="CB183" s="75">
        <f t="shared" si="282"/>
        <v>0</v>
      </c>
      <c r="CC183" s="75"/>
      <c r="CD183" s="75"/>
      <c r="CE183" s="75"/>
      <c r="CF183" s="75"/>
      <c r="CG183" s="75"/>
      <c r="CH183" s="75"/>
      <c r="CI183" s="75"/>
      <c r="CJ183" s="75"/>
      <c r="CK183" s="75"/>
      <c r="CL183" s="75"/>
      <c r="CM183" s="75"/>
      <c r="CN183" s="75"/>
      <c r="CO183" s="75"/>
      <c r="CP183" s="75"/>
      <c r="CQ183" s="75"/>
      <c r="CR183" s="75"/>
      <c r="CS183" s="75"/>
      <c r="CT183" s="75"/>
      <c r="CU183" s="75"/>
      <c r="CV183" s="75"/>
      <c r="CW183" s="25" t="e">
        <f t="shared" si="302"/>
        <v>#DIV/0!</v>
      </c>
      <c r="CX183" s="75">
        <f t="shared" si="283"/>
        <v>0</v>
      </c>
      <c r="CY183" s="75"/>
      <c r="CZ183" s="75"/>
      <c r="DA183" s="75"/>
      <c r="DB183" s="75">
        <f t="shared" si="246"/>
        <v>0</v>
      </c>
      <c r="DC183" s="75">
        <f t="shared" si="303"/>
        <v>0</v>
      </c>
      <c r="DD183" s="75">
        <f t="shared" si="304"/>
        <v>0</v>
      </c>
      <c r="DE183" s="75">
        <f t="shared" si="305"/>
        <v>0</v>
      </c>
      <c r="DF183" s="75"/>
      <c r="DG183" s="75">
        <f t="shared" si="306"/>
        <v>0</v>
      </c>
      <c r="DH183" s="75">
        <f t="shared" si="307"/>
        <v>0</v>
      </c>
      <c r="DI183" s="75"/>
      <c r="DJ183" s="75">
        <f t="shared" si="308"/>
        <v>0</v>
      </c>
      <c r="DK183" s="75">
        <f t="shared" si="309"/>
        <v>0</v>
      </c>
      <c r="DL183" s="75">
        <f t="shared" si="310"/>
        <v>0</v>
      </c>
      <c r="DM183" s="75">
        <f t="shared" si="311"/>
        <v>0</v>
      </c>
      <c r="DN183" s="75">
        <f t="shared" si="312"/>
        <v>0</v>
      </c>
      <c r="DO183" s="75">
        <f t="shared" si="313"/>
        <v>0</v>
      </c>
      <c r="DP183" s="75">
        <f t="shared" si="314"/>
        <v>0</v>
      </c>
      <c r="DQ183" s="75">
        <f t="shared" si="315"/>
        <v>0</v>
      </c>
      <c r="DR183" s="75">
        <f t="shared" si="316"/>
        <v>0</v>
      </c>
    </row>
    <row r="184" spans="1:122" ht="36.75" customHeight="1" x14ac:dyDescent="0.25">
      <c r="A184" s="246"/>
      <c r="B184" s="85" t="s">
        <v>20</v>
      </c>
      <c r="C184" s="82" t="s">
        <v>19</v>
      </c>
      <c r="D184" s="81" t="s">
        <v>18</v>
      </c>
      <c r="E184" s="80">
        <v>310</v>
      </c>
      <c r="F184" s="78" t="s">
        <v>12</v>
      </c>
      <c r="G184" s="227">
        <v>287000000</v>
      </c>
      <c r="H184" s="79">
        <f t="shared" si="277"/>
        <v>158967073</v>
      </c>
      <c r="I184" s="79">
        <f t="shared" si="278"/>
        <v>114377348</v>
      </c>
      <c r="J184" s="78"/>
      <c r="K184" s="78"/>
      <c r="L184" s="78"/>
      <c r="M184" s="75">
        <f t="shared" si="279"/>
        <v>273344421</v>
      </c>
      <c r="N184" s="4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>
        <f>273344421</f>
        <v>273344421</v>
      </c>
      <c r="AD184" s="75"/>
      <c r="AE184" s="75"/>
      <c r="AF184" s="75"/>
      <c r="AG184" s="75"/>
      <c r="AI184" s="25">
        <f t="shared" si="284"/>
        <v>1</v>
      </c>
      <c r="AJ184" s="75">
        <f t="shared" si="280"/>
        <v>273344421</v>
      </c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>
        <f>+'[5]FEBRERO 2015'!$X$334</f>
        <v>273344421</v>
      </c>
      <c r="BA184" s="75"/>
      <c r="BB184" s="75"/>
      <c r="BC184" s="75"/>
      <c r="BD184" s="75"/>
      <c r="BE184" s="25">
        <f t="shared" si="285"/>
        <v>0</v>
      </c>
      <c r="BF184" s="75">
        <f t="shared" si="281"/>
        <v>0</v>
      </c>
      <c r="BG184" s="75">
        <f t="shared" si="286"/>
        <v>0</v>
      </c>
      <c r="BH184" s="75">
        <f t="shared" si="287"/>
        <v>0</v>
      </c>
      <c r="BI184" s="75"/>
      <c r="BJ184" s="75">
        <f t="shared" si="245"/>
        <v>0</v>
      </c>
      <c r="BK184" s="75">
        <f t="shared" si="288"/>
        <v>0</v>
      </c>
      <c r="BL184" s="75">
        <f t="shared" si="289"/>
        <v>0</v>
      </c>
      <c r="BM184" s="75">
        <f t="shared" si="290"/>
        <v>0</v>
      </c>
      <c r="BN184" s="75"/>
      <c r="BO184" s="75">
        <f t="shared" si="291"/>
        <v>0</v>
      </c>
      <c r="BP184" s="75">
        <f t="shared" si="292"/>
        <v>0</v>
      </c>
      <c r="BQ184" s="75">
        <f t="shared" si="293"/>
        <v>0</v>
      </c>
      <c r="BR184" s="75">
        <f t="shared" si="294"/>
        <v>0</v>
      </c>
      <c r="BS184" s="75">
        <f t="shared" si="295"/>
        <v>0</v>
      </c>
      <c r="BT184" s="75">
        <f t="shared" si="296"/>
        <v>0</v>
      </c>
      <c r="BU184" s="75">
        <f t="shared" si="297"/>
        <v>0</v>
      </c>
      <c r="BV184" s="75">
        <f t="shared" si="298"/>
        <v>0</v>
      </c>
      <c r="BW184" s="75">
        <f t="shared" si="299"/>
        <v>0</v>
      </c>
      <c r="BX184" s="75"/>
      <c r="BY184" s="75"/>
      <c r="BZ184" s="75">
        <f t="shared" si="317"/>
        <v>0</v>
      </c>
      <c r="CA184" s="25">
        <f t="shared" si="301"/>
        <v>0.58156326153808713</v>
      </c>
      <c r="CB184" s="75">
        <f t="shared" si="282"/>
        <v>158967073</v>
      </c>
      <c r="CC184" s="75"/>
      <c r="CD184" s="75"/>
      <c r="CE184" s="75"/>
      <c r="CF184" s="75"/>
      <c r="CG184" s="75"/>
      <c r="CH184" s="75"/>
      <c r="CI184" s="75"/>
      <c r="CJ184" s="75"/>
      <c r="CK184" s="75"/>
      <c r="CL184" s="75"/>
      <c r="CM184" s="75"/>
      <c r="CN184" s="75"/>
      <c r="CO184" s="75"/>
      <c r="CP184" s="75"/>
      <c r="CQ184" s="75"/>
      <c r="CR184" s="75">
        <f>+'[1]AGOSTO 2015'!$H$701</f>
        <v>158967073</v>
      </c>
      <c r="CS184" s="75"/>
      <c r="CT184" s="75"/>
      <c r="CU184" s="75"/>
      <c r="CV184" s="75"/>
      <c r="CW184" s="25">
        <f t="shared" si="302"/>
        <v>0.41843673846191287</v>
      </c>
      <c r="CX184" s="75">
        <f t="shared" si="283"/>
        <v>114377348</v>
      </c>
      <c r="CY184" s="75"/>
      <c r="CZ184" s="75"/>
      <c r="DA184" s="75"/>
      <c r="DB184" s="75">
        <f t="shared" si="246"/>
        <v>0</v>
      </c>
      <c r="DC184" s="75">
        <f t="shared" si="303"/>
        <v>0</v>
      </c>
      <c r="DD184" s="75">
        <f t="shared" si="304"/>
        <v>0</v>
      </c>
      <c r="DE184" s="75">
        <f t="shared" si="305"/>
        <v>0</v>
      </c>
      <c r="DF184" s="75"/>
      <c r="DG184" s="75">
        <f t="shared" si="306"/>
        <v>0</v>
      </c>
      <c r="DH184" s="75">
        <f t="shared" si="307"/>
        <v>0</v>
      </c>
      <c r="DI184" s="75"/>
      <c r="DJ184" s="75">
        <f t="shared" si="308"/>
        <v>0</v>
      </c>
      <c r="DK184" s="75">
        <f t="shared" si="309"/>
        <v>0</v>
      </c>
      <c r="DL184" s="75">
        <f t="shared" si="310"/>
        <v>0</v>
      </c>
      <c r="DM184" s="75">
        <f t="shared" si="311"/>
        <v>0</v>
      </c>
      <c r="DN184" s="75">
        <f t="shared" si="312"/>
        <v>114377348</v>
      </c>
      <c r="DO184" s="75">
        <f t="shared" si="313"/>
        <v>0</v>
      </c>
      <c r="DP184" s="75">
        <f t="shared" si="314"/>
        <v>0</v>
      </c>
      <c r="DQ184" s="75">
        <f t="shared" si="315"/>
        <v>0</v>
      </c>
      <c r="DR184" s="75">
        <f t="shared" si="316"/>
        <v>0</v>
      </c>
    </row>
    <row r="185" spans="1:122" ht="45" customHeight="1" x14ac:dyDescent="0.25">
      <c r="A185" s="246"/>
      <c r="B185" s="83"/>
      <c r="C185" s="82" t="s">
        <v>17</v>
      </c>
      <c r="D185" s="81" t="s">
        <v>16</v>
      </c>
      <c r="E185" s="84">
        <v>310</v>
      </c>
      <c r="F185" s="78" t="s">
        <v>15</v>
      </c>
      <c r="G185" s="229"/>
      <c r="H185" s="79">
        <f t="shared" si="277"/>
        <v>8586672</v>
      </c>
      <c r="I185" s="79">
        <f t="shared" si="278"/>
        <v>21413328</v>
      </c>
      <c r="J185" s="78"/>
      <c r="K185" s="78"/>
      <c r="L185" s="78"/>
      <c r="M185" s="75">
        <f t="shared" si="279"/>
        <v>30000000</v>
      </c>
      <c r="N185" s="77"/>
      <c r="O185" s="77"/>
      <c r="P185" s="77"/>
      <c r="Q185" s="77"/>
      <c r="R185" s="77"/>
      <c r="S185" s="77"/>
      <c r="T185" s="77"/>
      <c r="U185" s="77"/>
      <c r="V185" s="77"/>
      <c r="W185" s="76"/>
      <c r="X185" s="76"/>
      <c r="Y185" s="76"/>
      <c r="Z185" s="76"/>
      <c r="AA185" s="76"/>
      <c r="AB185" s="77"/>
      <c r="AC185" s="77"/>
      <c r="AD185" s="77"/>
      <c r="AE185" s="77"/>
      <c r="AF185" s="77"/>
      <c r="AG185" s="75">
        <f>10000000+4000000+16000000</f>
        <v>30000000</v>
      </c>
      <c r="AI185" s="25">
        <f t="shared" si="284"/>
        <v>0.66666666666666663</v>
      </c>
      <c r="AJ185" s="75">
        <f t="shared" si="280"/>
        <v>20000000</v>
      </c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>
        <f>+'[2]JULIO 2015'!$G$716</f>
        <v>20000000</v>
      </c>
      <c r="BE185" s="25">
        <f t="shared" si="285"/>
        <v>0.33333333333333337</v>
      </c>
      <c r="BF185" s="75">
        <f t="shared" si="281"/>
        <v>10000000</v>
      </c>
      <c r="BG185" s="75">
        <f t="shared" si="286"/>
        <v>0</v>
      </c>
      <c r="BH185" s="75">
        <f t="shared" si="287"/>
        <v>0</v>
      </c>
      <c r="BI185" s="75"/>
      <c r="BJ185" s="75">
        <f t="shared" si="245"/>
        <v>0</v>
      </c>
      <c r="BK185" s="75">
        <f t="shared" si="288"/>
        <v>0</v>
      </c>
      <c r="BL185" s="75">
        <f t="shared" si="289"/>
        <v>0</v>
      </c>
      <c r="BM185" s="75">
        <f t="shared" si="290"/>
        <v>0</v>
      </c>
      <c r="BN185" s="75"/>
      <c r="BO185" s="75">
        <f t="shared" si="291"/>
        <v>0</v>
      </c>
      <c r="BP185" s="75">
        <f t="shared" si="292"/>
        <v>0</v>
      </c>
      <c r="BQ185" s="75">
        <f t="shared" si="293"/>
        <v>0</v>
      </c>
      <c r="BR185" s="75">
        <f t="shared" si="294"/>
        <v>0</v>
      </c>
      <c r="BS185" s="75">
        <f t="shared" si="295"/>
        <v>0</v>
      </c>
      <c r="BT185" s="75">
        <f t="shared" si="296"/>
        <v>0</v>
      </c>
      <c r="BU185" s="75">
        <f t="shared" si="297"/>
        <v>0</v>
      </c>
      <c r="BV185" s="75">
        <f t="shared" si="298"/>
        <v>0</v>
      </c>
      <c r="BW185" s="75">
        <f t="shared" si="299"/>
        <v>0</v>
      </c>
      <c r="BX185" s="75"/>
      <c r="BY185" s="75"/>
      <c r="BZ185" s="75">
        <f t="shared" si="317"/>
        <v>10000000</v>
      </c>
      <c r="CA185" s="25">
        <f t="shared" si="301"/>
        <v>0.28622239999999999</v>
      </c>
      <c r="CB185" s="75">
        <f t="shared" si="282"/>
        <v>8586672</v>
      </c>
      <c r="CC185" s="75"/>
      <c r="CD185" s="75"/>
      <c r="CE185" s="75"/>
      <c r="CF185" s="75"/>
      <c r="CG185" s="75"/>
      <c r="CH185" s="75"/>
      <c r="CI185" s="75"/>
      <c r="CJ185" s="75"/>
      <c r="CK185" s="75"/>
      <c r="CL185" s="75"/>
      <c r="CM185" s="75"/>
      <c r="CN185" s="75"/>
      <c r="CO185" s="75"/>
      <c r="CP185" s="75"/>
      <c r="CQ185" s="75"/>
      <c r="CR185" s="75"/>
      <c r="CS185" s="75"/>
      <c r="CT185" s="75"/>
      <c r="CU185" s="75"/>
      <c r="CV185" s="75">
        <f>+'[1]AGOSTO 2015'!$H$805</f>
        <v>8586672</v>
      </c>
      <c r="CW185" s="25">
        <f t="shared" si="302"/>
        <v>0.71377760000000001</v>
      </c>
      <c r="CX185" s="75">
        <f t="shared" si="283"/>
        <v>21413328</v>
      </c>
      <c r="CY185" s="75"/>
      <c r="CZ185" s="75"/>
      <c r="DA185" s="75"/>
      <c r="DB185" s="75">
        <f t="shared" si="246"/>
        <v>0</v>
      </c>
      <c r="DC185" s="75">
        <f t="shared" si="303"/>
        <v>0</v>
      </c>
      <c r="DD185" s="75">
        <f t="shared" si="304"/>
        <v>0</v>
      </c>
      <c r="DE185" s="75">
        <f t="shared" si="305"/>
        <v>0</v>
      </c>
      <c r="DF185" s="75"/>
      <c r="DG185" s="75">
        <f t="shared" si="306"/>
        <v>0</v>
      </c>
      <c r="DH185" s="75">
        <f t="shared" si="307"/>
        <v>0</v>
      </c>
      <c r="DI185" s="75"/>
      <c r="DJ185" s="75">
        <f t="shared" si="308"/>
        <v>0</v>
      </c>
      <c r="DK185" s="75">
        <f t="shared" si="309"/>
        <v>0</v>
      </c>
      <c r="DL185" s="75">
        <f t="shared" si="310"/>
        <v>0</v>
      </c>
      <c r="DM185" s="75">
        <f t="shared" si="311"/>
        <v>0</v>
      </c>
      <c r="DN185" s="75">
        <f t="shared" si="312"/>
        <v>0</v>
      </c>
      <c r="DO185" s="75">
        <f t="shared" si="313"/>
        <v>0</v>
      </c>
      <c r="DP185" s="75">
        <f t="shared" si="314"/>
        <v>0</v>
      </c>
      <c r="DQ185" s="75">
        <f t="shared" si="315"/>
        <v>0</v>
      </c>
      <c r="DR185" s="75">
        <f t="shared" si="316"/>
        <v>21413328</v>
      </c>
    </row>
    <row r="186" spans="1:122" ht="24" customHeight="1" x14ac:dyDescent="0.25">
      <c r="A186" s="246"/>
      <c r="B186" s="83"/>
      <c r="C186" s="82" t="s">
        <v>14</v>
      </c>
      <c r="D186" s="81" t="s">
        <v>13</v>
      </c>
      <c r="E186" s="80">
        <v>111</v>
      </c>
      <c r="F186" s="78" t="s">
        <v>12</v>
      </c>
      <c r="G186" s="78"/>
      <c r="H186" s="79">
        <f t="shared" si="277"/>
        <v>0</v>
      </c>
      <c r="I186" s="79">
        <f t="shared" ref="I186" si="318">M186-H186</f>
        <v>0</v>
      </c>
      <c r="J186" s="78"/>
      <c r="K186" s="78"/>
      <c r="L186" s="78"/>
      <c r="M186" s="75">
        <f>SUM(O186:AG186)</f>
        <v>0</v>
      </c>
      <c r="N186" s="77"/>
      <c r="O186" s="77"/>
      <c r="P186" s="77"/>
      <c r="Q186" s="77">
        <f>417803755-417803755</f>
        <v>0</v>
      </c>
      <c r="R186" s="77"/>
      <c r="S186" s="77"/>
      <c r="T186" s="77"/>
      <c r="U186" s="77"/>
      <c r="V186" s="77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5"/>
      <c r="AI186" s="25" t="e">
        <f t="shared" si="284"/>
        <v>#DIV/0!</v>
      </c>
      <c r="AJ186" s="75">
        <f t="shared" ref="AJ186" si="319">SUM(AK186:BD186)</f>
        <v>0</v>
      </c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25" t="e">
        <f t="shared" si="285"/>
        <v>#DIV/0!</v>
      </c>
      <c r="BF186" s="75">
        <f t="shared" ref="BF186" si="320">SUM(BG186:BZ186)</f>
        <v>0</v>
      </c>
      <c r="BG186" s="75">
        <f t="shared" si="286"/>
        <v>0</v>
      </c>
      <c r="BH186" s="75">
        <f t="shared" si="287"/>
        <v>0</v>
      </c>
      <c r="BI186" s="75"/>
      <c r="BJ186" s="75">
        <f t="shared" si="245"/>
        <v>0</v>
      </c>
      <c r="BK186" s="75">
        <f t="shared" si="288"/>
        <v>0</v>
      </c>
      <c r="BL186" s="75">
        <f t="shared" si="289"/>
        <v>0</v>
      </c>
      <c r="BM186" s="75">
        <f t="shared" si="290"/>
        <v>0</v>
      </c>
      <c r="BN186" s="75"/>
      <c r="BO186" s="75">
        <f t="shared" si="291"/>
        <v>0</v>
      </c>
      <c r="BP186" s="75">
        <f t="shared" si="292"/>
        <v>0</v>
      </c>
      <c r="BQ186" s="75">
        <f t="shared" si="293"/>
        <v>0</v>
      </c>
      <c r="BR186" s="75">
        <f t="shared" si="294"/>
        <v>0</v>
      </c>
      <c r="BS186" s="75">
        <f t="shared" si="295"/>
        <v>0</v>
      </c>
      <c r="BT186" s="75">
        <f t="shared" si="296"/>
        <v>0</v>
      </c>
      <c r="BU186" s="75">
        <f t="shared" si="297"/>
        <v>0</v>
      </c>
      <c r="BV186" s="75">
        <f t="shared" si="298"/>
        <v>0</v>
      </c>
      <c r="BW186" s="75">
        <f t="shared" si="299"/>
        <v>0</v>
      </c>
      <c r="BX186" s="75"/>
      <c r="BY186" s="75"/>
      <c r="BZ186" s="75">
        <f t="shared" si="317"/>
        <v>0</v>
      </c>
      <c r="CA186" s="25" t="e">
        <f t="shared" si="301"/>
        <v>#DIV/0!</v>
      </c>
      <c r="CB186" s="75">
        <f t="shared" ref="CB186" si="321">SUM(CC186:CV186)</f>
        <v>0</v>
      </c>
      <c r="CC186" s="75"/>
      <c r="CD186" s="75"/>
      <c r="CE186" s="75"/>
      <c r="CF186" s="75"/>
      <c r="CG186" s="75"/>
      <c r="CH186" s="75"/>
      <c r="CI186" s="75"/>
      <c r="CJ186" s="75"/>
      <c r="CK186" s="75"/>
      <c r="CL186" s="75"/>
      <c r="CM186" s="75"/>
      <c r="CN186" s="75"/>
      <c r="CO186" s="75"/>
      <c r="CP186" s="75"/>
      <c r="CQ186" s="75"/>
      <c r="CR186" s="75"/>
      <c r="CS186" s="75"/>
      <c r="CT186" s="75"/>
      <c r="CU186" s="75"/>
      <c r="CV186" s="75"/>
      <c r="CW186" s="25" t="e">
        <f t="shared" si="302"/>
        <v>#DIV/0!</v>
      </c>
      <c r="CX186" s="75">
        <f t="shared" ref="CX186" si="322">SUM(CY186:DR186)</f>
        <v>0</v>
      </c>
      <c r="CY186" s="75"/>
      <c r="CZ186" s="75"/>
      <c r="DA186" s="75"/>
      <c r="DB186" s="75">
        <f t="shared" si="246"/>
        <v>0</v>
      </c>
      <c r="DC186" s="75">
        <f t="shared" si="303"/>
        <v>0</v>
      </c>
      <c r="DD186" s="75">
        <f t="shared" si="304"/>
        <v>0</v>
      </c>
      <c r="DE186" s="75">
        <f t="shared" si="305"/>
        <v>0</v>
      </c>
      <c r="DF186" s="75"/>
      <c r="DG186" s="75">
        <f t="shared" si="306"/>
        <v>0</v>
      </c>
      <c r="DH186" s="75">
        <f t="shared" si="307"/>
        <v>0</v>
      </c>
      <c r="DI186" s="75"/>
      <c r="DJ186" s="75">
        <f t="shared" si="308"/>
        <v>0</v>
      </c>
      <c r="DK186" s="75">
        <f t="shared" si="309"/>
        <v>0</v>
      </c>
      <c r="DL186" s="75">
        <f t="shared" si="310"/>
        <v>0</v>
      </c>
      <c r="DM186" s="75">
        <f t="shared" si="311"/>
        <v>0</v>
      </c>
      <c r="DN186" s="75">
        <f t="shared" si="312"/>
        <v>0</v>
      </c>
      <c r="DO186" s="75">
        <f t="shared" si="313"/>
        <v>0</v>
      </c>
      <c r="DP186" s="75">
        <f t="shared" si="314"/>
        <v>0</v>
      </c>
      <c r="DQ186" s="75">
        <f t="shared" si="315"/>
        <v>0</v>
      </c>
      <c r="DR186" s="75">
        <f t="shared" si="316"/>
        <v>0</v>
      </c>
    </row>
    <row r="187" spans="1:122" s="68" customFormat="1" ht="25.5" customHeight="1" thickBot="1" x14ac:dyDescent="0.3">
      <c r="A187" s="74"/>
      <c r="B187" s="247" t="s">
        <v>11</v>
      </c>
      <c r="C187" s="248"/>
      <c r="D187" s="249"/>
      <c r="E187" s="73"/>
      <c r="F187" s="71"/>
      <c r="G187" s="72">
        <f>SUM(G122:G186)</f>
        <v>20835000000</v>
      </c>
      <c r="H187" s="72">
        <f>SUM(H122:H186)</f>
        <v>4183375247</v>
      </c>
      <c r="I187" s="72">
        <f>SUM(I122:I186)</f>
        <v>6977596856</v>
      </c>
      <c r="J187" s="71"/>
      <c r="K187" s="71"/>
      <c r="L187" s="71"/>
      <c r="M187" s="69">
        <f t="shared" ref="M187:AG187" si="323">SUM(M122:M186)</f>
        <v>11160972103</v>
      </c>
      <c r="N187" s="69">
        <f t="shared" si="323"/>
        <v>0</v>
      </c>
      <c r="O187" s="69">
        <f t="shared" si="323"/>
        <v>0</v>
      </c>
      <c r="P187" s="69">
        <f t="shared" si="323"/>
        <v>0</v>
      </c>
      <c r="Q187" s="69">
        <f t="shared" si="323"/>
        <v>9036421581</v>
      </c>
      <c r="R187" s="69">
        <f t="shared" si="323"/>
        <v>20011334</v>
      </c>
      <c r="S187" s="69">
        <f t="shared" si="323"/>
        <v>625000000</v>
      </c>
      <c r="T187" s="69">
        <f t="shared" si="323"/>
        <v>0</v>
      </c>
      <c r="U187" s="69">
        <f t="shared" si="323"/>
        <v>0</v>
      </c>
      <c r="V187" s="69">
        <f t="shared" si="323"/>
        <v>0</v>
      </c>
      <c r="W187" s="69">
        <f t="shared" si="323"/>
        <v>1940856</v>
      </c>
      <c r="X187" s="69">
        <f t="shared" si="323"/>
        <v>3438802</v>
      </c>
      <c r="Y187" s="69">
        <f t="shared" si="323"/>
        <v>318664514</v>
      </c>
      <c r="Z187" s="69">
        <f t="shared" si="323"/>
        <v>0</v>
      </c>
      <c r="AA187" s="69">
        <f t="shared" si="323"/>
        <v>0</v>
      </c>
      <c r="AB187" s="69">
        <f t="shared" si="323"/>
        <v>214719551</v>
      </c>
      <c r="AC187" s="69">
        <f t="shared" si="323"/>
        <v>397080402</v>
      </c>
      <c r="AD187" s="69">
        <f t="shared" si="323"/>
        <v>0</v>
      </c>
      <c r="AE187" s="69">
        <f t="shared" si="323"/>
        <v>0</v>
      </c>
      <c r="AF187" s="69">
        <f t="shared" si="323"/>
        <v>92524043</v>
      </c>
      <c r="AG187" s="69">
        <f t="shared" si="323"/>
        <v>451171020</v>
      </c>
      <c r="AI187" s="70">
        <f t="shared" si="284"/>
        <v>0.48285421505098441</v>
      </c>
      <c r="AJ187" s="69">
        <f>SUM(AJ122:AJ186)</f>
        <v>5389122424</v>
      </c>
      <c r="AK187" s="69">
        <f>SUM(AK122:AK186)</f>
        <v>0</v>
      </c>
      <c r="AL187" s="69">
        <f>SUM(AL122:AL186)</f>
        <v>0</v>
      </c>
      <c r="AM187" s="69"/>
      <c r="AN187" s="69">
        <f t="shared" ref="AN187:BD187" si="324">SUM(AN122:AN186)</f>
        <v>4084443156</v>
      </c>
      <c r="AO187" s="69">
        <f t="shared" si="324"/>
        <v>17503290</v>
      </c>
      <c r="AP187" s="69">
        <f t="shared" si="324"/>
        <v>476166457</v>
      </c>
      <c r="AQ187" s="69">
        <f t="shared" si="324"/>
        <v>0</v>
      </c>
      <c r="AR187" s="69">
        <f t="shared" si="324"/>
        <v>0</v>
      </c>
      <c r="AS187" s="69">
        <f t="shared" si="324"/>
        <v>0</v>
      </c>
      <c r="AT187" s="69">
        <f t="shared" si="324"/>
        <v>0</v>
      </c>
      <c r="AU187" s="69">
        <f t="shared" si="324"/>
        <v>0</v>
      </c>
      <c r="AV187" s="69">
        <f t="shared" si="324"/>
        <v>40655038</v>
      </c>
      <c r="AW187" s="69">
        <f t="shared" si="324"/>
        <v>0</v>
      </c>
      <c r="AX187" s="69">
        <f t="shared" si="324"/>
        <v>0</v>
      </c>
      <c r="AY187" s="69">
        <f t="shared" si="324"/>
        <v>99940000</v>
      </c>
      <c r="AZ187" s="69">
        <f t="shared" si="324"/>
        <v>306078593</v>
      </c>
      <c r="BA187" s="69">
        <f t="shared" si="324"/>
        <v>0</v>
      </c>
      <c r="BB187" s="69">
        <f t="shared" si="324"/>
        <v>0</v>
      </c>
      <c r="BC187" s="69">
        <f t="shared" si="324"/>
        <v>92524043</v>
      </c>
      <c r="BD187" s="69">
        <f t="shared" si="324"/>
        <v>271811847</v>
      </c>
      <c r="BE187" s="70">
        <f t="shared" si="285"/>
        <v>0.51714578494901553</v>
      </c>
      <c r="BF187" s="69">
        <f>SUM(BF122:BF186)</f>
        <v>5771849679</v>
      </c>
      <c r="BG187" s="69">
        <f>SUM(BG122:BG186)</f>
        <v>0</v>
      </c>
      <c r="BH187" s="69">
        <f>SUM(BH122:BH186)</f>
        <v>0</v>
      </c>
      <c r="BI187" s="69"/>
      <c r="BJ187" s="69">
        <f t="shared" ref="BJ187:BZ187" si="325">SUM(BJ122:BJ186)</f>
        <v>4951978425</v>
      </c>
      <c r="BK187" s="69">
        <f t="shared" si="325"/>
        <v>2508044</v>
      </c>
      <c r="BL187" s="69">
        <f t="shared" si="325"/>
        <v>148833543</v>
      </c>
      <c r="BM187" s="69">
        <f t="shared" si="325"/>
        <v>0</v>
      </c>
      <c r="BN187" s="69">
        <f t="shared" si="325"/>
        <v>0</v>
      </c>
      <c r="BO187" s="69">
        <f t="shared" si="325"/>
        <v>0</v>
      </c>
      <c r="BP187" s="69">
        <f t="shared" si="325"/>
        <v>1940856</v>
      </c>
      <c r="BQ187" s="69">
        <f t="shared" si="325"/>
        <v>3438802</v>
      </c>
      <c r="BR187" s="69">
        <f t="shared" si="325"/>
        <v>278009476</v>
      </c>
      <c r="BS187" s="69">
        <f t="shared" si="325"/>
        <v>0</v>
      </c>
      <c r="BT187" s="69">
        <f t="shared" si="325"/>
        <v>0</v>
      </c>
      <c r="BU187" s="69">
        <f t="shared" si="325"/>
        <v>114779551</v>
      </c>
      <c r="BV187" s="69">
        <f t="shared" si="325"/>
        <v>91001809</v>
      </c>
      <c r="BW187" s="69">
        <f t="shared" si="325"/>
        <v>0</v>
      </c>
      <c r="BX187" s="69">
        <f t="shared" si="325"/>
        <v>0</v>
      </c>
      <c r="BY187" s="69">
        <f t="shared" si="325"/>
        <v>0</v>
      </c>
      <c r="BZ187" s="69">
        <f t="shared" si="325"/>
        <v>179359173</v>
      </c>
      <c r="CA187" s="70">
        <f t="shared" si="301"/>
        <v>0.37482176358773756</v>
      </c>
      <c r="CB187" s="69">
        <f>SUM(CB122:CB186)</f>
        <v>4183375247</v>
      </c>
      <c r="CC187" s="69">
        <f>SUM(CC122:CC186)</f>
        <v>0</v>
      </c>
      <c r="CD187" s="69">
        <f>SUM(CD122:CD186)</f>
        <v>0</v>
      </c>
      <c r="CE187" s="69"/>
      <c r="CF187" s="69">
        <f t="shared" ref="CF187:CV187" si="326">SUM(CF122:CF186)</f>
        <v>3332132850</v>
      </c>
      <c r="CG187" s="69">
        <f t="shared" si="326"/>
        <v>12550540</v>
      </c>
      <c r="CH187" s="69">
        <f t="shared" si="326"/>
        <v>457897782</v>
      </c>
      <c r="CI187" s="69">
        <f t="shared" si="326"/>
        <v>0</v>
      </c>
      <c r="CJ187" s="69">
        <f t="shared" si="326"/>
        <v>0</v>
      </c>
      <c r="CK187" s="69">
        <f t="shared" si="326"/>
        <v>0</v>
      </c>
      <c r="CL187" s="69">
        <f t="shared" si="326"/>
        <v>0</v>
      </c>
      <c r="CM187" s="69">
        <f t="shared" si="326"/>
        <v>0</v>
      </c>
      <c r="CN187" s="69">
        <f t="shared" si="326"/>
        <v>40655038</v>
      </c>
      <c r="CO187" s="69">
        <f t="shared" si="326"/>
        <v>0</v>
      </c>
      <c r="CP187" s="69">
        <f t="shared" si="326"/>
        <v>0</v>
      </c>
      <c r="CQ187" s="69">
        <f t="shared" si="326"/>
        <v>80144495</v>
      </c>
      <c r="CR187" s="69">
        <f t="shared" si="326"/>
        <v>166943542</v>
      </c>
      <c r="CS187" s="69">
        <f t="shared" si="326"/>
        <v>0</v>
      </c>
      <c r="CT187" s="69">
        <f t="shared" si="326"/>
        <v>0</v>
      </c>
      <c r="CU187" s="69">
        <f t="shared" si="326"/>
        <v>0</v>
      </c>
      <c r="CV187" s="69">
        <f t="shared" si="326"/>
        <v>93051000</v>
      </c>
      <c r="CW187" s="70">
        <f t="shared" si="302"/>
        <v>0.62517823641226244</v>
      </c>
      <c r="CX187" s="69">
        <f t="shared" ref="CX187:DR187" si="327">SUM(CX122:CX186)</f>
        <v>6977596856</v>
      </c>
      <c r="CY187" s="69">
        <f t="shared" si="327"/>
        <v>0</v>
      </c>
      <c r="CZ187" s="69">
        <f t="shared" si="327"/>
        <v>0</v>
      </c>
      <c r="DA187" s="69">
        <f t="shared" si="327"/>
        <v>0</v>
      </c>
      <c r="DB187" s="69">
        <f t="shared" si="327"/>
        <v>5704288731</v>
      </c>
      <c r="DC187" s="69">
        <f t="shared" si="327"/>
        <v>7460794</v>
      </c>
      <c r="DD187" s="69">
        <f t="shared" si="327"/>
        <v>167102218</v>
      </c>
      <c r="DE187" s="69">
        <f t="shared" si="327"/>
        <v>0</v>
      </c>
      <c r="DF187" s="69">
        <f t="shared" si="327"/>
        <v>0</v>
      </c>
      <c r="DG187" s="69">
        <f t="shared" si="327"/>
        <v>0</v>
      </c>
      <c r="DH187" s="69">
        <f t="shared" si="327"/>
        <v>1940856</v>
      </c>
      <c r="DI187" s="69">
        <f t="shared" si="327"/>
        <v>3438802</v>
      </c>
      <c r="DJ187" s="69">
        <f t="shared" si="327"/>
        <v>278009476</v>
      </c>
      <c r="DK187" s="69">
        <f t="shared" si="327"/>
        <v>0</v>
      </c>
      <c r="DL187" s="69">
        <f t="shared" si="327"/>
        <v>0</v>
      </c>
      <c r="DM187" s="69">
        <f t="shared" si="327"/>
        <v>134575056</v>
      </c>
      <c r="DN187" s="69">
        <f t="shared" si="327"/>
        <v>230136860</v>
      </c>
      <c r="DO187" s="69">
        <f t="shared" si="327"/>
        <v>0</v>
      </c>
      <c r="DP187" s="69">
        <f t="shared" si="327"/>
        <v>0</v>
      </c>
      <c r="DQ187" s="69">
        <f t="shared" si="327"/>
        <v>92524043</v>
      </c>
      <c r="DR187" s="69">
        <f t="shared" si="327"/>
        <v>358120020</v>
      </c>
    </row>
    <row r="188" spans="1:122" ht="12" customHeight="1" thickTop="1" x14ac:dyDescent="0.25"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5"/>
      <c r="N188" s="65"/>
      <c r="O188" s="65"/>
      <c r="P188" s="65"/>
      <c r="Q188" s="66"/>
      <c r="R188" s="65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I188" s="62"/>
      <c r="AJ188" s="59"/>
      <c r="AK188" s="59"/>
      <c r="AL188" s="59"/>
      <c r="AM188" s="59"/>
      <c r="AN188" s="59"/>
      <c r="AO188" s="59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  <c r="BD188" s="59"/>
      <c r="BE188" s="62"/>
      <c r="BF188" s="59"/>
      <c r="BG188" s="59"/>
      <c r="BH188" s="59"/>
      <c r="BI188" s="59"/>
      <c r="BJ188" s="59"/>
      <c r="BK188" s="59"/>
      <c r="BL188" s="59"/>
      <c r="BM188" s="59"/>
      <c r="BN188" s="59"/>
      <c r="BO188" s="59"/>
      <c r="BP188" s="59"/>
      <c r="BQ188" s="59"/>
      <c r="BR188" s="59"/>
      <c r="BS188" s="59"/>
      <c r="BT188" s="59"/>
      <c r="BU188" s="59"/>
      <c r="BV188" s="59"/>
      <c r="BW188" s="59"/>
      <c r="BX188" s="59"/>
      <c r="BY188" s="59"/>
      <c r="BZ188" s="59"/>
      <c r="CA188" s="62"/>
      <c r="CB188" s="63"/>
      <c r="CC188" s="59"/>
      <c r="CD188" s="59"/>
      <c r="CE188" s="59"/>
      <c r="CF188" s="59"/>
      <c r="CG188" s="59"/>
      <c r="CH188" s="59"/>
      <c r="CI188" s="59"/>
      <c r="CJ188" s="59"/>
      <c r="CK188" s="59"/>
      <c r="CL188" s="59"/>
      <c r="CM188" s="59"/>
      <c r="CN188" s="59"/>
      <c r="CO188" s="59"/>
      <c r="CP188" s="59"/>
      <c r="CQ188" s="59"/>
      <c r="CR188" s="59"/>
      <c r="CS188" s="59"/>
      <c r="CT188" s="59"/>
      <c r="CU188" s="59"/>
      <c r="CV188" s="59"/>
      <c r="CW188" s="62"/>
      <c r="CX188" s="59"/>
      <c r="CY188" s="59"/>
      <c r="CZ188" s="59"/>
      <c r="DA188" s="59"/>
      <c r="DB188" s="59"/>
      <c r="DC188" s="59"/>
      <c r="DD188" s="59"/>
      <c r="DE188" s="59"/>
      <c r="DF188" s="59"/>
      <c r="DG188" s="59"/>
      <c r="DH188" s="59"/>
      <c r="DI188" s="59"/>
      <c r="DJ188" s="59"/>
      <c r="DK188" s="59"/>
      <c r="DL188" s="59"/>
      <c r="DM188" s="59"/>
      <c r="DN188" s="59"/>
      <c r="DO188" s="59"/>
      <c r="DP188" s="59"/>
      <c r="DQ188" s="59"/>
      <c r="DR188" s="59"/>
    </row>
    <row r="189" spans="1:122" ht="19.5" customHeight="1" thickBot="1" x14ac:dyDescent="0.3">
      <c r="C189" s="250" t="s">
        <v>10</v>
      </c>
      <c r="D189" s="251"/>
      <c r="E189" s="252"/>
      <c r="F189" s="61"/>
      <c r="G189" s="19">
        <f>G34+G67+G103+G121+G187</f>
        <v>31953000000</v>
      </c>
      <c r="H189" s="19">
        <f>H34+H67+H103+H121+H187</f>
        <v>11616159919</v>
      </c>
      <c r="I189" s="19">
        <f>I34+I67+I103+I121+I187</f>
        <v>13401433555</v>
      </c>
      <c r="J189" s="61"/>
      <c r="K189" s="61"/>
      <c r="L189" s="61"/>
      <c r="M189" s="59">
        <f t="shared" ref="M189:AG189" si="328">M34+M67+M103+M121+M187</f>
        <v>25017593474</v>
      </c>
      <c r="N189" s="59">
        <f t="shared" si="328"/>
        <v>104079469</v>
      </c>
      <c r="O189" s="59">
        <f t="shared" si="328"/>
        <v>134533656</v>
      </c>
      <c r="P189" s="59">
        <f t="shared" si="328"/>
        <v>396726534</v>
      </c>
      <c r="Q189" s="59">
        <f t="shared" si="328"/>
        <v>9862143612</v>
      </c>
      <c r="R189" s="59">
        <f t="shared" si="328"/>
        <v>92895874</v>
      </c>
      <c r="S189" s="59">
        <f t="shared" si="328"/>
        <v>2509180877</v>
      </c>
      <c r="T189" s="59">
        <f t="shared" si="328"/>
        <v>1300000000</v>
      </c>
      <c r="U189" s="59">
        <f t="shared" si="328"/>
        <v>102810569</v>
      </c>
      <c r="V189" s="59">
        <f t="shared" si="328"/>
        <v>219471348</v>
      </c>
      <c r="W189" s="59">
        <f t="shared" si="328"/>
        <v>1940856</v>
      </c>
      <c r="X189" s="59">
        <f t="shared" si="328"/>
        <v>3438802</v>
      </c>
      <c r="Y189" s="59">
        <f t="shared" si="328"/>
        <v>318664514</v>
      </c>
      <c r="Z189" s="59">
        <f t="shared" si="328"/>
        <v>4114878115</v>
      </c>
      <c r="AA189" s="59">
        <f t="shared" si="328"/>
        <v>1077016006</v>
      </c>
      <c r="AB189" s="59">
        <f t="shared" si="328"/>
        <v>1074256830</v>
      </c>
      <c r="AC189" s="59">
        <f t="shared" si="328"/>
        <v>963627417</v>
      </c>
      <c r="AD189" s="59">
        <f t="shared" si="328"/>
        <v>1181607989</v>
      </c>
      <c r="AE189" s="59">
        <f t="shared" si="328"/>
        <v>80844085</v>
      </c>
      <c r="AF189" s="59">
        <f t="shared" si="328"/>
        <v>92524043</v>
      </c>
      <c r="AG189" s="59">
        <f t="shared" si="328"/>
        <v>1386952878</v>
      </c>
      <c r="AI189" s="60">
        <f>+AJ189/M189</f>
        <v>0.66034756685006646</v>
      </c>
      <c r="AJ189" s="59">
        <f t="shared" ref="AJ189:BD189" si="329">AJ34+AJ67+AJ103+AJ121+AJ187</f>
        <v>16520306979</v>
      </c>
      <c r="AK189" s="59">
        <f t="shared" si="329"/>
        <v>103688299</v>
      </c>
      <c r="AL189" s="59">
        <f t="shared" si="329"/>
        <v>133268976</v>
      </c>
      <c r="AM189" s="59">
        <f t="shared" si="329"/>
        <v>396726534</v>
      </c>
      <c r="AN189" s="59">
        <f t="shared" si="329"/>
        <v>4910165187</v>
      </c>
      <c r="AO189" s="59">
        <f t="shared" si="329"/>
        <v>17503290</v>
      </c>
      <c r="AP189" s="59">
        <f t="shared" si="329"/>
        <v>1959007333</v>
      </c>
      <c r="AQ189" s="59">
        <f t="shared" si="329"/>
        <v>1132695531</v>
      </c>
      <c r="AR189" s="59">
        <f t="shared" si="329"/>
        <v>102810569</v>
      </c>
      <c r="AS189" s="59">
        <f t="shared" si="329"/>
        <v>219471348</v>
      </c>
      <c r="AT189" s="59">
        <f t="shared" si="329"/>
        <v>0</v>
      </c>
      <c r="AU189" s="59">
        <f t="shared" si="329"/>
        <v>0</v>
      </c>
      <c r="AV189" s="59">
        <f t="shared" si="329"/>
        <v>40655038</v>
      </c>
      <c r="AW189" s="59">
        <f t="shared" si="329"/>
        <v>2606923243</v>
      </c>
      <c r="AX189" s="59">
        <f t="shared" si="329"/>
        <v>904023169</v>
      </c>
      <c r="AY189" s="59">
        <f t="shared" si="329"/>
        <v>742234156</v>
      </c>
      <c r="AZ189" s="59">
        <f t="shared" si="329"/>
        <v>835087016</v>
      </c>
      <c r="BA189" s="59">
        <f t="shared" si="329"/>
        <v>1157607989</v>
      </c>
      <c r="BB189" s="59">
        <f t="shared" si="329"/>
        <v>80844085</v>
      </c>
      <c r="BC189" s="59">
        <f t="shared" si="329"/>
        <v>92524043</v>
      </c>
      <c r="BD189" s="59">
        <f t="shared" si="329"/>
        <v>1085071173</v>
      </c>
      <c r="BE189" s="16">
        <f>1-AI189</f>
        <v>0.33965243314993354</v>
      </c>
      <c r="BF189" s="59">
        <f t="shared" ref="BF189:BZ189" si="330">BF34+BF67+BF103+BF121+BF187</f>
        <v>8497286495</v>
      </c>
      <c r="BG189" s="59">
        <f t="shared" si="330"/>
        <v>391170</v>
      </c>
      <c r="BH189" s="59">
        <f t="shared" si="330"/>
        <v>1264680</v>
      </c>
      <c r="BI189" s="59">
        <f t="shared" si="330"/>
        <v>0</v>
      </c>
      <c r="BJ189" s="59">
        <f t="shared" si="330"/>
        <v>4951978425</v>
      </c>
      <c r="BK189" s="59">
        <f t="shared" si="330"/>
        <v>75392584</v>
      </c>
      <c r="BL189" s="59">
        <f t="shared" si="330"/>
        <v>550173544</v>
      </c>
      <c r="BM189" s="59">
        <f t="shared" si="330"/>
        <v>167304469</v>
      </c>
      <c r="BN189" s="59">
        <f t="shared" si="330"/>
        <v>0</v>
      </c>
      <c r="BO189" s="59">
        <f t="shared" si="330"/>
        <v>0</v>
      </c>
      <c r="BP189" s="59">
        <f t="shared" si="330"/>
        <v>1940856</v>
      </c>
      <c r="BQ189" s="59">
        <f t="shared" si="330"/>
        <v>3438802</v>
      </c>
      <c r="BR189" s="59">
        <f t="shared" si="330"/>
        <v>278009476</v>
      </c>
      <c r="BS189" s="59">
        <f t="shared" si="330"/>
        <v>1507954872</v>
      </c>
      <c r="BT189" s="59">
        <f t="shared" si="330"/>
        <v>172992837</v>
      </c>
      <c r="BU189" s="59">
        <f t="shared" si="330"/>
        <v>332022674</v>
      </c>
      <c r="BV189" s="59">
        <f t="shared" si="330"/>
        <v>128540401</v>
      </c>
      <c r="BW189" s="59">
        <f t="shared" si="330"/>
        <v>24000000</v>
      </c>
      <c r="BX189" s="59">
        <f t="shared" si="330"/>
        <v>0</v>
      </c>
      <c r="BY189" s="59">
        <f t="shared" si="330"/>
        <v>0</v>
      </c>
      <c r="BZ189" s="59">
        <f t="shared" si="330"/>
        <v>301881705</v>
      </c>
      <c r="CA189" s="16">
        <f>+CB189/M189</f>
        <v>0.46431963694159117</v>
      </c>
      <c r="CB189" s="59">
        <f t="shared" ref="CB189:CV189" si="331">CB34+CB67+CB103+CB121+CB187</f>
        <v>11616159919</v>
      </c>
      <c r="CC189" s="59">
        <f t="shared" si="331"/>
        <v>44765799</v>
      </c>
      <c r="CD189" s="59">
        <f t="shared" si="331"/>
        <v>133268976</v>
      </c>
      <c r="CE189" s="59">
        <f t="shared" si="331"/>
        <v>396726534</v>
      </c>
      <c r="CF189" s="59">
        <f t="shared" si="331"/>
        <v>3932442731</v>
      </c>
      <c r="CG189" s="59">
        <f t="shared" si="331"/>
        <v>12550540</v>
      </c>
      <c r="CH189" s="59">
        <f t="shared" si="331"/>
        <v>1590860535</v>
      </c>
      <c r="CI189" s="59">
        <f t="shared" si="331"/>
        <v>753232380</v>
      </c>
      <c r="CJ189" s="59">
        <f t="shared" si="331"/>
        <v>102810569</v>
      </c>
      <c r="CK189" s="59">
        <f t="shared" si="331"/>
        <v>127534316</v>
      </c>
      <c r="CL189" s="59">
        <f t="shared" si="331"/>
        <v>0</v>
      </c>
      <c r="CM189" s="59">
        <f t="shared" si="331"/>
        <v>0</v>
      </c>
      <c r="CN189" s="59">
        <f t="shared" si="331"/>
        <v>40655038</v>
      </c>
      <c r="CO189" s="59">
        <f t="shared" si="331"/>
        <v>1208261737</v>
      </c>
      <c r="CP189" s="59">
        <f t="shared" si="331"/>
        <v>557575145</v>
      </c>
      <c r="CQ189" s="59">
        <f t="shared" si="331"/>
        <v>575245878</v>
      </c>
      <c r="CR189" s="59">
        <f t="shared" si="331"/>
        <v>430459973</v>
      </c>
      <c r="CS189" s="59">
        <f t="shared" si="331"/>
        <v>1016162182</v>
      </c>
      <c r="CT189" s="59">
        <f t="shared" si="331"/>
        <v>25815097</v>
      </c>
      <c r="CU189" s="59">
        <f t="shared" si="331"/>
        <v>0</v>
      </c>
      <c r="CV189" s="59">
        <f t="shared" si="331"/>
        <v>667792489</v>
      </c>
      <c r="CW189" s="182">
        <f>1-CA189</f>
        <v>0.53568036305840883</v>
      </c>
      <c r="CX189" s="59">
        <f t="shared" ref="CX189:DR189" si="332">CX34+CX67+CX103+CX121+CX187</f>
        <v>13401433555</v>
      </c>
      <c r="CY189" s="59">
        <f t="shared" si="332"/>
        <v>59313670</v>
      </c>
      <c r="CZ189" s="59">
        <f t="shared" si="332"/>
        <v>1264680</v>
      </c>
      <c r="DA189" s="59">
        <f t="shared" si="332"/>
        <v>0</v>
      </c>
      <c r="DB189" s="59">
        <f t="shared" si="332"/>
        <v>5929700881</v>
      </c>
      <c r="DC189" s="59">
        <f t="shared" si="332"/>
        <v>80345334</v>
      </c>
      <c r="DD189" s="59">
        <f t="shared" si="332"/>
        <v>918320342</v>
      </c>
      <c r="DE189" s="59">
        <f t="shared" si="332"/>
        <v>546767620</v>
      </c>
      <c r="DF189" s="59">
        <f t="shared" si="332"/>
        <v>0</v>
      </c>
      <c r="DG189" s="59">
        <f t="shared" si="332"/>
        <v>91937032</v>
      </c>
      <c r="DH189" s="59">
        <f t="shared" si="332"/>
        <v>1940856</v>
      </c>
      <c r="DI189" s="59">
        <f t="shared" si="332"/>
        <v>3438802</v>
      </c>
      <c r="DJ189" s="59">
        <f t="shared" si="332"/>
        <v>278009476</v>
      </c>
      <c r="DK189" s="59">
        <f t="shared" si="332"/>
        <v>2906616378</v>
      </c>
      <c r="DL189" s="59">
        <f t="shared" si="332"/>
        <v>519440861</v>
      </c>
      <c r="DM189" s="59">
        <f t="shared" si="332"/>
        <v>499010952</v>
      </c>
      <c r="DN189" s="59">
        <f t="shared" si="332"/>
        <v>533167444</v>
      </c>
      <c r="DO189" s="59">
        <f t="shared" si="332"/>
        <v>165445807</v>
      </c>
      <c r="DP189" s="59">
        <f t="shared" si="332"/>
        <v>55028988</v>
      </c>
      <c r="DQ189" s="59">
        <f t="shared" si="332"/>
        <v>92524043</v>
      </c>
      <c r="DR189" s="59">
        <f t="shared" si="332"/>
        <v>719160389</v>
      </c>
    </row>
    <row r="190" spans="1:122" ht="10.5" customHeight="1" thickTop="1" x14ac:dyDescent="0.25">
      <c r="C190" s="58"/>
      <c r="D190" s="58"/>
      <c r="E190" s="57"/>
      <c r="F190" s="57"/>
      <c r="G190" s="57"/>
      <c r="H190" s="57"/>
      <c r="I190" s="57"/>
      <c r="J190" s="57"/>
      <c r="K190" s="57"/>
      <c r="L190" s="57"/>
      <c r="M190" s="55"/>
      <c r="N190" s="55"/>
      <c r="O190" s="55"/>
      <c r="P190" s="55"/>
      <c r="Q190" s="56"/>
      <c r="R190" s="55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I190" s="44"/>
      <c r="AJ190" s="50"/>
      <c r="AK190" s="50"/>
      <c r="AL190" s="50"/>
      <c r="AM190" s="50"/>
      <c r="AN190" s="50"/>
      <c r="AO190" s="50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44"/>
      <c r="BF190" s="50"/>
      <c r="BG190" s="50"/>
      <c r="BH190" s="50"/>
      <c r="BI190" s="50"/>
      <c r="BJ190" s="50"/>
      <c r="BK190" s="50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4"/>
      <c r="CB190" s="54"/>
      <c r="CC190" s="53"/>
      <c r="CD190" s="53"/>
      <c r="CE190" s="53"/>
      <c r="CF190" s="53"/>
      <c r="CG190" s="53"/>
      <c r="CH190" s="52"/>
      <c r="CI190" s="52"/>
      <c r="CJ190" s="52"/>
      <c r="CK190" s="52"/>
      <c r="CL190" s="52"/>
      <c r="CM190" s="52"/>
      <c r="CN190" s="52"/>
      <c r="CO190" s="52"/>
      <c r="CP190" s="52"/>
      <c r="CQ190" s="52"/>
      <c r="CR190" s="52"/>
      <c r="CS190" s="52"/>
      <c r="CT190" s="52"/>
      <c r="CU190" s="52"/>
      <c r="CV190" s="52"/>
      <c r="CW190" s="25"/>
      <c r="CX190" s="51"/>
      <c r="CY190" s="50"/>
      <c r="CZ190" s="50"/>
      <c r="DA190" s="50"/>
      <c r="DB190" s="50"/>
      <c r="DC190" s="50"/>
      <c r="DD190" s="49"/>
      <c r="DE190" s="49"/>
      <c r="DF190" s="49"/>
      <c r="DG190" s="49"/>
      <c r="DH190" s="49"/>
      <c r="DI190" s="49"/>
      <c r="DJ190" s="49"/>
      <c r="DK190" s="49"/>
      <c r="DL190" s="49"/>
      <c r="DM190" s="49"/>
      <c r="DN190" s="49"/>
      <c r="DO190" s="49"/>
      <c r="DP190" s="49"/>
      <c r="DQ190" s="49"/>
      <c r="DR190" s="49"/>
    </row>
    <row r="191" spans="1:122" ht="27" customHeight="1" x14ac:dyDescent="0.25">
      <c r="C191" s="48"/>
      <c r="D191" s="35" t="s">
        <v>9</v>
      </c>
      <c r="E191" s="44">
        <v>111</v>
      </c>
      <c r="F191" s="32">
        <f>+'[11]POAI AC. 032  DEL 18-JUNIO '!$K$51-M191</f>
        <v>0</v>
      </c>
      <c r="G191" s="19">
        <f>SUMIF($E$4:$E$186,"111",$G$4:$G$186)</f>
        <v>20073000000</v>
      </c>
      <c r="H191" s="19">
        <f>SUMIF($E$4:$E$186,"111",$H$4:$H$186)</f>
        <v>1897722132</v>
      </c>
      <c r="I191" s="19">
        <f>SUMIF($E$4:$E$186,"111",$I$4:$I$186)</f>
        <v>4533260397</v>
      </c>
      <c r="J191" s="32"/>
      <c r="K191" s="32"/>
      <c r="L191" s="32"/>
      <c r="M191" s="27">
        <f>SUMIF($E$4:$E$186,"111",$M$4:$M$186)</f>
        <v>6430982529</v>
      </c>
      <c r="N191" s="27">
        <f>SUMIF($E$4:$E$186,"111",$N$4:$N$186)</f>
        <v>0</v>
      </c>
      <c r="O191" s="33">
        <f>SUMIF($E$4:$E$187,"111",$O$4:$O$187)</f>
        <v>0</v>
      </c>
      <c r="P191" s="33">
        <f>SUMIF($E$4:$E$187,"111",$P$4:$P$187)</f>
        <v>0</v>
      </c>
      <c r="Q191" s="33">
        <f>SUMIF($E$4:$E$187,"111",$Q$4:$Q$187)</f>
        <v>5814286148</v>
      </c>
      <c r="R191" s="27">
        <f>SUMIF($E$4:$E$186,"111",$R$4:$R$186)</f>
        <v>20011334</v>
      </c>
      <c r="S191" s="32">
        <f>SUMIF($E$4:$E$187,"111",$S$4:$S$187)</f>
        <v>5000000</v>
      </c>
      <c r="T191" s="32">
        <f>SUMIF($E$4:$E$184,"111",$T$4:$T$184)</f>
        <v>0</v>
      </c>
      <c r="U191" s="32">
        <f>SUMIF($E$4:$E$184,"111",$U$4:$U$184)</f>
        <v>0</v>
      </c>
      <c r="V191" s="32">
        <f>SUMIF($E$4:$E$184,"111",$V$4:$V$184)</f>
        <v>0</v>
      </c>
      <c r="W191" s="32">
        <f>SUMIF($E$4:$E$184,"111",$W$4:$W$184)</f>
        <v>1940856</v>
      </c>
      <c r="X191" s="32">
        <f>SUMIF($E$4:$E$184,"111",$X$4:$X$184)</f>
        <v>3438802</v>
      </c>
      <c r="Y191" s="32">
        <f>SUMIF($E$4:$E$184,"111",$Y$4:$Y$184)</f>
        <v>186380309</v>
      </c>
      <c r="Z191" s="32">
        <f>SUMIF($E$4:$E$184,"111",$Z$4:$Z$184)</f>
        <v>0</v>
      </c>
      <c r="AA191" s="32">
        <f>SUMIF($E$4:$E$184,"111",$AA$4:$AA$184)</f>
        <v>0</v>
      </c>
      <c r="AB191" s="32">
        <f>SUMIF($E$4:$E$184,"111",$AB$4:$AB$184)</f>
        <v>114719551</v>
      </c>
      <c r="AC191" s="32">
        <f>SUMIF($E$4:$E$184,"111",$AC$4:$AC$184)</f>
        <v>78705529</v>
      </c>
      <c r="AD191" s="32">
        <f>SUMIF($E$4:$E$184,"111",$AD$4:$AD$184)</f>
        <v>0</v>
      </c>
      <c r="AE191" s="32">
        <f>SUMIF($E$4:$E$184,"111",$AE$4:$AE$184)</f>
        <v>0</v>
      </c>
      <c r="AF191" s="32">
        <f>SUMIF($E$4:$E$184,"111",$AF$4:$AF$184)</f>
        <v>0</v>
      </c>
      <c r="AG191" s="32">
        <f>SUMIF($E$4:$E$186,"111",$AG$4:$AG$186)</f>
        <v>206500000</v>
      </c>
      <c r="AI191" s="31">
        <f t="shared" ref="AI191:AI199" si="333">+AJ191/M191</f>
        <v>0.35409772110733717</v>
      </c>
      <c r="AJ191" s="30">
        <f t="shared" ref="AJ191:AJ196" si="334">SUM(AK191:BD191)</f>
        <v>2277196258</v>
      </c>
      <c r="AK191" s="27">
        <f>SUMIF($E$4:$E$186,"111",$AK$4:$AK$186)</f>
        <v>0</v>
      </c>
      <c r="AL191" s="27">
        <f>SUMIF($E$4:$E$186,"111",$AL$4:$AL$186)</f>
        <v>0</v>
      </c>
      <c r="AM191" s="27">
        <f>SUMIF($E$4:$E$186,"111",$AM$4:$AM$186)</f>
        <v>0</v>
      </c>
      <c r="AN191" s="27">
        <f>SUMIF($E$4:$E$186,"111",$AN$4:$AN$186)</f>
        <v>2187577968</v>
      </c>
      <c r="AO191" s="27">
        <f>SUMIF($E$4:$E$186,"111",$AO$4:$AO$186)</f>
        <v>17503290</v>
      </c>
      <c r="AP191" s="27">
        <f>SUMIF($E$4:$E$186,"111",$AP$4:$AP$186)</f>
        <v>0</v>
      </c>
      <c r="AQ191" s="27">
        <f>SUMIF($E$4:$E$186,"111",$AQ$4:$AQ$186)</f>
        <v>0</v>
      </c>
      <c r="AR191" s="27">
        <f>SUMIF($E$4:$E$186,"111",$AR$4:$AR$186)</f>
        <v>0</v>
      </c>
      <c r="AS191" s="27">
        <f>SUMIF($E$4:$E$186,"111",$AS$4:$AS$186)</f>
        <v>0</v>
      </c>
      <c r="AT191" s="27">
        <f>SUMIF($E$4:$E$186,"111",$AT$4:$AT$186)</f>
        <v>0</v>
      </c>
      <c r="AU191" s="27">
        <f>SUMIF($E$4:$E$184,"111",$AU$4:$AU$184)</f>
        <v>0</v>
      </c>
      <c r="AV191" s="27">
        <f>SUMIF($E$4:$E$184,"111",$AV$4:$AV$184)</f>
        <v>0</v>
      </c>
      <c r="AW191" s="27">
        <f>SUMIF($E$4:$E$184,"111",$AW$4:$AW$184)</f>
        <v>0</v>
      </c>
      <c r="AX191" s="27">
        <f>SUMIF($E$4:$E$184,"111",$AX$4:$AX$184)</f>
        <v>0</v>
      </c>
      <c r="AY191" s="27">
        <f>SUMIF($E$4:$E$186,"111",$AY$4:$AY$186)</f>
        <v>0</v>
      </c>
      <c r="AZ191" s="27">
        <f>SUMIF($E$4:$E$184,"111",$AZ$4:$AZ$184)</f>
        <v>0</v>
      </c>
      <c r="BA191" s="27">
        <f>SUMIF($E$4:$E$186,"111",$AM$4:$AM$186)</f>
        <v>0</v>
      </c>
      <c r="BB191" s="27">
        <f>SUMIF($E$4:$E$184,"111",$BB$4:$BB$184)</f>
        <v>0</v>
      </c>
      <c r="BC191" s="27">
        <f>SUMIF($E$4:$E$184,"111",$BC$4:$BC$184)</f>
        <v>0</v>
      </c>
      <c r="BD191" s="27">
        <f>SUMIF($E$4:$E$186,"111",$BD$4:$BD$186)</f>
        <v>72115000</v>
      </c>
      <c r="BE191" s="16">
        <f t="shared" ref="BE191:BE199" si="335">1-AI191</f>
        <v>0.64590227889266283</v>
      </c>
      <c r="BF191" s="24">
        <f t="shared" ref="BF191:BF196" si="336">SUM(BG191:BZ191)</f>
        <v>4153786271</v>
      </c>
      <c r="BG191" s="27">
        <f>SUMIF($E$4:$E$186,"111",$AM$4:$AM$186)</f>
        <v>0</v>
      </c>
      <c r="BH191" s="22">
        <f>SUMIF($E$4:$E$184,"111",$BH$4:$BH$184)</f>
        <v>0</v>
      </c>
      <c r="BI191" s="22">
        <f>SUMIF($E$4:$E$184,"111",$BI$4:$BI$184)</f>
        <v>0</v>
      </c>
      <c r="BJ191" s="22">
        <f>SUMIF($E$4:$E$186,"111",$BJ$4:$BJ$186)</f>
        <v>3626708180</v>
      </c>
      <c r="BK191" s="22">
        <f>SUMIF($E$4:$E$186,"111",$BK$4:$BK$186)</f>
        <v>2508044</v>
      </c>
      <c r="BL191" s="22">
        <f>SUMIF($E$4:$E$186,"111",$BL$4:$BL$186)</f>
        <v>5000000</v>
      </c>
      <c r="BM191" s="22">
        <f>SUMIF($E$4:$E$186,"111",$BM$4:$BM$186)</f>
        <v>0</v>
      </c>
      <c r="BN191" s="22">
        <f>SUMIF($E$4:$E$184,"111",$BN$4:$BN$184)</f>
        <v>0</v>
      </c>
      <c r="BO191" s="22">
        <f>SUMIF($E$4:$E$187,"111",$BO$4:$BO$187)</f>
        <v>0</v>
      </c>
      <c r="BP191" s="22">
        <f>SUMIF($E$4:$E$184,"111",$BP$4:$BP$184)</f>
        <v>1940856</v>
      </c>
      <c r="BQ191" s="22">
        <f>SUMIF($E$4:$E$184,"111",$BQ$4:$BQ$184)</f>
        <v>3438802</v>
      </c>
      <c r="BR191" s="22">
        <f>SUMIF($E$4:$E$184,"111",$BR$4:$BR$184)</f>
        <v>186380309</v>
      </c>
      <c r="BS191" s="22">
        <f>SUMIF($E$4:$E$184,"111",$BS$4:$BS$184)</f>
        <v>0</v>
      </c>
      <c r="BT191" s="22">
        <f>SUMIF($E$4:$E$184,"111",$BT$4:$BT$184)</f>
        <v>0</v>
      </c>
      <c r="BU191" s="22">
        <f>SUMIF($E$4:$E$184,"111",$BU$4:$BU$184)</f>
        <v>114719551</v>
      </c>
      <c r="BV191" s="22">
        <f>SUMIF($E$4:$E$184,"111",$BV$4:$BV$184)</f>
        <v>78705529</v>
      </c>
      <c r="BW191" s="22">
        <f>SUMIF($E$4:$E$184,"111",$BW$4:$BW$184)</f>
        <v>0</v>
      </c>
      <c r="BX191" s="22">
        <f>SUMIF($E$4:$E$184,"111",$BX$4:$BX$184)</f>
        <v>0</v>
      </c>
      <c r="BY191" s="22">
        <f>SUMIF($E$4:$E$184,"111",$BY$4:$BY$184)</f>
        <v>0</v>
      </c>
      <c r="BZ191" s="29">
        <f>SUMIF($E$4:$E$186,"111",$BZ$4:$BZ$186)</f>
        <v>134385000</v>
      </c>
      <c r="CA191" s="28">
        <f t="shared" ref="CA191:CA199" si="337">+CB191/M191</f>
        <v>0.29509054385428263</v>
      </c>
      <c r="CB191" s="45">
        <f t="shared" ref="CB191:CB196" si="338">SUM(CC191:CV191)</f>
        <v>1897722132</v>
      </c>
      <c r="CC191" s="27">
        <f>SUMIF($E$4:$E$186,"111",$CC$4:$CC$186)</f>
        <v>0</v>
      </c>
      <c r="CD191" s="27">
        <f>SUMIF($E$4:$E$184,"111",$CD$4:$CD$184)</f>
        <v>0</v>
      </c>
      <c r="CE191" s="27">
        <f>SUMIF($E$4:$E$184,"111",$CE$4:$CE$184)</f>
        <v>0</v>
      </c>
      <c r="CF191" s="27">
        <f>SUMIF($E$4:$E$184,"111",$CF$4:$CF$184)</f>
        <v>1863910192</v>
      </c>
      <c r="CG191" s="27">
        <f>SUMIF($E$4:$E$186,"111",$CG$4:$CG$186)</f>
        <v>12550540</v>
      </c>
      <c r="CH191" s="27">
        <f>SUMIF($E$4:$E$184,"111",$CH$4:$CH$184)</f>
        <v>0</v>
      </c>
      <c r="CI191" s="27">
        <f>SUMIF($E$4:$E$184,"111",$CI$4:$CI$184)</f>
        <v>0</v>
      </c>
      <c r="CJ191" s="27">
        <f>SUMIF($E$4:$E$186,"111",$CJ$4:$CJ$186)</f>
        <v>0</v>
      </c>
      <c r="CK191" s="27">
        <f>SUMIF($E$4:$E$184,"111",$CK$4:$CK$184)</f>
        <v>0</v>
      </c>
      <c r="CL191" s="27">
        <f>SUMIF($E$4:$E$184,"111",$CL$4:$CL$184)</f>
        <v>0</v>
      </c>
      <c r="CM191" s="27">
        <f>SUMIF($E$4:$E$184,"111",$CM$4:$CM$184)</f>
        <v>0</v>
      </c>
      <c r="CN191" s="27">
        <f>SUMIF($E$4:$E$184,"111",$CN$4:$CN$184)</f>
        <v>0</v>
      </c>
      <c r="CO191" s="27">
        <f>SUMIF($E$4:$E$184,"111",$CO$4:$CO$184)</f>
        <v>0</v>
      </c>
      <c r="CP191" s="27">
        <f>SUMIF($E$4:$E$184,"111",$CP$4:$CP$184)</f>
        <v>0</v>
      </c>
      <c r="CQ191" s="27">
        <f>SUMIF($E$4:$E$184,"111",$CQ$4:$CQ$184)</f>
        <v>0</v>
      </c>
      <c r="CR191" s="27">
        <f>SUMIF($E$4:$E$184,"111",$CR$4:$CR$184)</f>
        <v>0</v>
      </c>
      <c r="CS191" s="27">
        <f>SUMIF($E$4:$E$184,"111",$CS$4:$CS$184)</f>
        <v>0</v>
      </c>
      <c r="CT191" s="27">
        <f>SUMIF($E$4:$E$184,"111",$CT$4:$CT$184)</f>
        <v>0</v>
      </c>
      <c r="CU191" s="27">
        <f>SUMIF($E$4:$E$184,"111",$CU$4:$CU$184)</f>
        <v>0</v>
      </c>
      <c r="CV191" s="26">
        <f>SUMIF($E$4:$E$184,"111",$CV$4:$CV$184)</f>
        <v>21261400</v>
      </c>
      <c r="CW191" s="25">
        <f t="shared" ref="CW191:CW199" si="339">1-CA191</f>
        <v>0.70490945614571743</v>
      </c>
      <c r="CX191" s="24">
        <f t="shared" ref="CX191:CX196" si="340">SUM(CY191:DR191)</f>
        <v>4533260397</v>
      </c>
      <c r="CY191" s="23">
        <f>SUMIF($E$4:$E$186,"111",$CY$4:$CY$186)</f>
        <v>0</v>
      </c>
      <c r="CZ191" s="22">
        <f>SUMIF($E$4:$E$186,"111",$CZ$4:$CZ$186)</f>
        <v>0</v>
      </c>
      <c r="DA191" s="22">
        <f>SUMIF($E$4:$E$186,"111",$DA$4:$DA$186)</f>
        <v>0</v>
      </c>
      <c r="DB191" s="22">
        <f>SUMIF($E$4:$E$186,"111",$DB$4:$DB$186)</f>
        <v>3950375956</v>
      </c>
      <c r="DC191" s="22">
        <f>SUMIF($E$4:$E$186,"111",$DC$4:$DC$186)</f>
        <v>7460794</v>
      </c>
      <c r="DD191" s="22">
        <f>SUMIF($E$4:$E$186,"111",$DD$4:$DD$186)</f>
        <v>5000000</v>
      </c>
      <c r="DE191" s="22">
        <f>SUMIF($E$4:$E$186,"111",$DE$4:$DE$186)</f>
        <v>0</v>
      </c>
      <c r="DF191" s="22">
        <f>SUMIF($E$4:$E$186,"111",$DF$4:$DF$186)</f>
        <v>0</v>
      </c>
      <c r="DG191" s="21">
        <f>SUMIF($E$4:$E$184,"111",$DG$4:$DG$184)</f>
        <v>0</v>
      </c>
      <c r="DH191" s="21">
        <f>SUMIF($E$4:$E$184,"111",$DH$4:$DH$184)</f>
        <v>1940856</v>
      </c>
      <c r="DI191" s="21">
        <f>SUMIF($E$4:$E$186,"111",$DI$4:$DI$186)</f>
        <v>3438802</v>
      </c>
      <c r="DJ191" s="21">
        <f>SUMIF($E$4:$E$184,"111",$DJ$4:$DJ$184)</f>
        <v>186380309</v>
      </c>
      <c r="DK191" s="21">
        <f>SUMIF($E$4:$E$184,"111",$DK$4:$DK$184)</f>
        <v>0</v>
      </c>
      <c r="DL191" s="21">
        <f>SUMIF($E$4:$E$186,"111",$DL$4:$DL$186)</f>
        <v>0</v>
      </c>
      <c r="DM191" s="21">
        <f>SUMIF($E$4:$E$186,"111",$DM$4:$DM$186)</f>
        <v>114719551</v>
      </c>
      <c r="DN191" s="21">
        <f>SUMIF($E$4:$E$184,"111",$DN$4:$DN$184)</f>
        <v>78705529</v>
      </c>
      <c r="DO191" s="21">
        <f>SUMIF($E$4:$E$184,"111",$DO$4:$DO$184)</f>
        <v>0</v>
      </c>
      <c r="DP191" s="21">
        <f>SUMIF($E$4:$E$184,"111",$DP$4:$DP$184)</f>
        <v>0</v>
      </c>
      <c r="DQ191" s="21">
        <f>SUMIF($E$4:$E$184,"111",$DQ$4:$DQ$184)</f>
        <v>0</v>
      </c>
      <c r="DR191" s="21">
        <f>SUMIF($E$4:$E$186,"111",$DR$4:$DR$186)</f>
        <v>185238600</v>
      </c>
    </row>
    <row r="192" spans="1:122" ht="25.5" customHeight="1" x14ac:dyDescent="0.25">
      <c r="C192" s="47"/>
      <c r="D192" s="35" t="s">
        <v>8</v>
      </c>
      <c r="E192" s="44">
        <v>211</v>
      </c>
      <c r="F192" s="32"/>
      <c r="G192" s="19">
        <f>SUMIF($E$4:$E$186,"211",$G$4:$G$186)</f>
        <v>0</v>
      </c>
      <c r="H192" s="19">
        <f>SUMIF($E$4:$E$186,"211",$H$4:$H$186)</f>
        <v>1788793331</v>
      </c>
      <c r="I192" s="19">
        <f>SUMIF($E$4:$E$186,"211",$I$4:$I$186)</f>
        <v>2108351822</v>
      </c>
      <c r="J192" s="32"/>
      <c r="K192" s="32"/>
      <c r="L192" s="32"/>
      <c r="M192" s="27">
        <f>SUMIF($E$4:$E$186,"211",$M$4:$M$186)</f>
        <v>3897145153</v>
      </c>
      <c r="N192" s="27">
        <f>SUMIF($E$4:$E$186,"211",$N$4:$N$186)</f>
        <v>0</v>
      </c>
      <c r="O192" s="33">
        <f>SUMIF($E$4:$E$187,"211",$O$4:$O$187)</f>
        <v>0</v>
      </c>
      <c r="P192" s="33">
        <f>SUMIF($E$4:$E$187,"211",$P$4:$P$187)</f>
        <v>0</v>
      </c>
      <c r="Q192" s="33">
        <f>SUMIF($E$4:$E$187,"211",$Q$4:$Q$187)</f>
        <v>3222135433</v>
      </c>
      <c r="R192" s="27">
        <f>SUMIF($E$4:$E$186,"211",$R$4:$R$186)</f>
        <v>0</v>
      </c>
      <c r="S192" s="32">
        <f>SUMIF($E$4:$E$184,"211",$S$4:$S$184)</f>
        <v>210000000</v>
      </c>
      <c r="T192" s="32">
        <f>SUMIF($E$4:$E$184,"211",$T$4:$T$184)</f>
        <v>0</v>
      </c>
      <c r="U192" s="32">
        <f>SUMIF($E$4:$E$184,"211",$U$4:$U$184)</f>
        <v>0</v>
      </c>
      <c r="V192" s="32">
        <f>SUMIF($E$4:$E$184,"211",$V$4:$V$184)</f>
        <v>0</v>
      </c>
      <c r="W192" s="32">
        <f>SUMIF($E$4:$E$184,"211",$W$4:$W$184)</f>
        <v>0</v>
      </c>
      <c r="X192" s="32">
        <f>SUMIF($E$4:$E$184,"211",$X$4:$X$184)</f>
        <v>0</v>
      </c>
      <c r="Y192" s="32">
        <f>SUMIF($E$4:$E$184,"211",$Y$4:$Y$184)</f>
        <v>132284205</v>
      </c>
      <c r="Z192" s="32">
        <f>SUMIF($E$4:$E$184,"211",$Z$4:$Z$184)</f>
        <v>0</v>
      </c>
      <c r="AA192" s="32">
        <f>SUMIF($E$4:$E$184,"211",$AA$4:$AA$184)</f>
        <v>0</v>
      </c>
      <c r="AB192" s="32">
        <f>SUMIF($E$4:$E$184,"211",$AB$4:$AB$184)</f>
        <v>0</v>
      </c>
      <c r="AC192" s="32">
        <f>SUMIF($E$4:$E$184,"211",$AC$4:$AC$184)</f>
        <v>25530452</v>
      </c>
      <c r="AD192" s="32">
        <f>SUMIF($E$4:$E$184,"211",$AD$4:$AD$184)</f>
        <v>0</v>
      </c>
      <c r="AE192" s="32">
        <f>SUMIF($E$4:$E$184,"211",$AE$4:$AE$184)</f>
        <v>0</v>
      </c>
      <c r="AF192" s="32">
        <f>SUMIF($E$4:$E$184,"211",$AF$4:$AF$184)</f>
        <v>92524043</v>
      </c>
      <c r="AG192" s="32">
        <f>SUMIF($E$4:$E$186,"211",$AG$4:$AG$186)</f>
        <v>214671020</v>
      </c>
      <c r="AI192" s="31">
        <f t="shared" si="333"/>
        <v>0.62745201217810531</v>
      </c>
      <c r="AJ192" s="30">
        <f t="shared" si="334"/>
        <v>2445271568</v>
      </c>
      <c r="AK192" s="27">
        <f>SUMIF($E$4:$E$184,"211",$AK$4:$AK$184)</f>
        <v>0</v>
      </c>
      <c r="AL192" s="27">
        <f>SUMIF($E$4:$E$186,"211",$AL$4:$AL$186)</f>
        <v>0</v>
      </c>
      <c r="AM192" s="27">
        <f>SUMIF($E$4:$E$186,"211",$AM$4:$AM$186)</f>
        <v>0</v>
      </c>
      <c r="AN192" s="27">
        <f>SUMIF($E$4:$E$186,"211",$AN$4:$AN$186)</f>
        <v>1896865188</v>
      </c>
      <c r="AO192" s="27">
        <f>SUMIF($E$4:$E$184,"211",$AO$4:$AO$184)</f>
        <v>0</v>
      </c>
      <c r="AP192" s="27">
        <f>SUMIF($E$4:$E$184,"211",$AP$4:$AP$184)</f>
        <v>210000000</v>
      </c>
      <c r="AQ192" s="27">
        <f>SUMIF($E$4:$E$186,"211",$AQ$4:$AQ$186)</f>
        <v>0</v>
      </c>
      <c r="AR192" s="27">
        <f>SUMIF($E$4:$E$186,"211",$AR$4:$AR$186)</f>
        <v>0</v>
      </c>
      <c r="AS192" s="27">
        <f>SUMIF($E$4:$E$184,"211",$AS$4:$AS$184)</f>
        <v>0</v>
      </c>
      <c r="AT192" s="27">
        <f>SUMIF($E$4:$E$184,"211",$AT$4:$AT$184)</f>
        <v>0</v>
      </c>
      <c r="AU192" s="27">
        <f>SUMIF($E$4:$E$184,"211",$AU$4:$AU$184)</f>
        <v>0</v>
      </c>
      <c r="AV192" s="27">
        <f>SUMIF($E$4:$E$184,"211",$AV$4:$AV$184)</f>
        <v>40655038</v>
      </c>
      <c r="AW192" s="27">
        <f>SUMIF($E$4:$E$184,"211",$AW$4:$AW$184)</f>
        <v>0</v>
      </c>
      <c r="AX192" s="27">
        <f>SUMIF($E$4:$E$184,"211",$AX$4:$AX$184)</f>
        <v>0</v>
      </c>
      <c r="AY192" s="27">
        <f>SUMIF($E$4:$E$186,"211",$AY$4:$AY$186)</f>
        <v>0</v>
      </c>
      <c r="AZ192" s="27">
        <f>SUMIF($E$4:$E$184,"211",$AZ$4:$AZ$184)</f>
        <v>25530452</v>
      </c>
      <c r="BA192" s="27">
        <f>SUMIF($E$4:$E$184,"211",$BA$4:$BA$184)</f>
        <v>0</v>
      </c>
      <c r="BB192" s="27">
        <f>SUMIF($E$4:$E$184,"211",$BB$4:$BB$184)</f>
        <v>0</v>
      </c>
      <c r="BC192" s="27">
        <f>SUMIF($E$4:$E$184,"211",$BC$4:$BC$184)</f>
        <v>92524043</v>
      </c>
      <c r="BD192" s="27">
        <f>SUMIF($E$4:$E$186,"211",$BD$4:$BD$186)</f>
        <v>179696847</v>
      </c>
      <c r="BE192" s="16">
        <f t="shared" si="335"/>
        <v>0.37254798782189469</v>
      </c>
      <c r="BF192" s="24">
        <f t="shared" si="336"/>
        <v>1451873585</v>
      </c>
      <c r="BG192" s="22">
        <f>SUMIF($E$4:$E$184,"211",$BG$4:$BG$184)</f>
        <v>0</v>
      </c>
      <c r="BH192" s="22">
        <f>SUMIF($E$4:$E$184,"211",$BH$4:$BH$184)</f>
        <v>0</v>
      </c>
      <c r="BI192" s="22">
        <f>SUMIF($E$4:$E$184,"211",$BI$4:$BI$184)</f>
        <v>0</v>
      </c>
      <c r="BJ192" s="22">
        <f>SUMIF($E$4:$E$186,"211",$BJ$4:$BJ$186)</f>
        <v>1325270245</v>
      </c>
      <c r="BK192" s="22">
        <f>SUMIF($E$4:$E$186,"211",$BK$4:$BK$186)</f>
        <v>0</v>
      </c>
      <c r="BL192" s="22">
        <f>SUMIF($E$4:$E$186,"211",$BL$4:$BL$186)</f>
        <v>0</v>
      </c>
      <c r="BM192" s="22">
        <f>SUMIF($E$4:$E$186,"211",$BM$4:$BM$186)</f>
        <v>0</v>
      </c>
      <c r="BN192" s="22">
        <f>SUMIF($E$4:$E$184,"211",$BN$4:$BN$184)</f>
        <v>0</v>
      </c>
      <c r="BO192" s="22">
        <f>SUMIF($E$4:$E$184,"211",$BO$4:$BO$184)</f>
        <v>0</v>
      </c>
      <c r="BP192" s="22">
        <f>SUMIF($E$4:$E$184,"211",$BP$4:$BP$184)</f>
        <v>0</v>
      </c>
      <c r="BQ192" s="22">
        <f>SUMIF($E$4:$E$184,"211",$BQ$4:$BQ$184)</f>
        <v>0</v>
      </c>
      <c r="BR192" s="22">
        <f>SUMIF($E$4:$E$184,"211",$BR$4:$BR$184)</f>
        <v>91629167</v>
      </c>
      <c r="BS192" s="22">
        <f>SUMIF($E$4:$E$184,"211",$BS$4:$BS$184)</f>
        <v>0</v>
      </c>
      <c r="BT192" s="22">
        <f>SUMIF($E$4:$E$184,"211",$BT$4:$BT$184)</f>
        <v>0</v>
      </c>
      <c r="BU192" s="22">
        <f>SUMIF($E$4:$E$184,"211",$BU$4:$BU$184)</f>
        <v>0</v>
      </c>
      <c r="BV192" s="22">
        <f>SUMIF($E$4:$E$184,"211",$BV$4:$BV$184)</f>
        <v>0</v>
      </c>
      <c r="BW192" s="22">
        <f>SUMIF($E$4:$E$184,"211",$BW$4:$BW$184)</f>
        <v>0</v>
      </c>
      <c r="BX192" s="22">
        <f>SUMIF($E$4:$E$184,"211",$BX$4:$BX$184)</f>
        <v>0</v>
      </c>
      <c r="BY192" s="22">
        <f>SUMIF($E$4:$E$184,"211",$BY$4:$BY$184)</f>
        <v>0</v>
      </c>
      <c r="BZ192" s="29">
        <f>SUMIF($E$4:$E$186,"211",$BZ$4:$BZ$186)</f>
        <v>34974173</v>
      </c>
      <c r="CA192" s="28">
        <f t="shared" si="337"/>
        <v>0.45900095089427118</v>
      </c>
      <c r="CB192" s="45">
        <f t="shared" si="338"/>
        <v>1788793331</v>
      </c>
      <c r="CC192" s="27">
        <f>SUMIF($E$4:$E$186,"211",$CC$4:$CC$186)</f>
        <v>0</v>
      </c>
      <c r="CD192" s="27">
        <f>SUMIF($E$4:$E$184,"211",$CD$4:$CD$184)</f>
        <v>0</v>
      </c>
      <c r="CE192" s="27">
        <f>SUMIF($E$4:$E$184,"211",$CE$4:$CE$184)</f>
        <v>0</v>
      </c>
      <c r="CF192" s="27">
        <f>SUMIF($E$4:$E$184,"211",$CF$4:$CF$184)</f>
        <v>1468222658</v>
      </c>
      <c r="CG192" s="27">
        <f>SUMIF($E$4:$E$186,"211",$CG$4:$CG$186)</f>
        <v>0</v>
      </c>
      <c r="CH192" s="27">
        <f>SUMIF($E$4:$E$184,"211",$CH$4:$CH$184)</f>
        <v>208736238</v>
      </c>
      <c r="CI192" s="27">
        <f>SUMIF($E$4:$E$184,"211",$CI$4:$CI$184)</f>
        <v>0</v>
      </c>
      <c r="CJ192" s="27">
        <f>SUMIF($E$4:$E$186,"211",$CJ$4:$CJ$186)</f>
        <v>0</v>
      </c>
      <c r="CK192" s="27">
        <f>SUMIF($E$4:$E$184,"211",$CK$4:$CK$184)</f>
        <v>0</v>
      </c>
      <c r="CL192" s="27">
        <f>SUMIF($E$4:$E$184,"211",$CL$4:$CL$184)</f>
        <v>0</v>
      </c>
      <c r="CM192" s="27">
        <f>SUMIF($E$4:$E$184,"211",$CM$4:$CM$184)</f>
        <v>0</v>
      </c>
      <c r="CN192" s="27">
        <f>SUMIF($E$4:$E$184,"211",$CN$4:$CN$184)</f>
        <v>40655038</v>
      </c>
      <c r="CO192" s="27">
        <f>SUMIF($E$4:$E$184,"211",$CO$4:$CO$184)</f>
        <v>0</v>
      </c>
      <c r="CP192" s="27">
        <f>SUMIF($E$4:$E$184,"211",$CP$4:$CP$184)</f>
        <v>0</v>
      </c>
      <c r="CQ192" s="27">
        <f>SUMIF($E$4:$E$184,"211",$CQ$4:$CQ$184)</f>
        <v>0</v>
      </c>
      <c r="CR192" s="27">
        <f>SUMIF($E$4:$E$184,"211",$CR$4:$CR$184)</f>
        <v>7976469</v>
      </c>
      <c r="CS192" s="27">
        <f>SUMIF($E$4:$E$184,"211",$CS$4:$CS$184)</f>
        <v>0</v>
      </c>
      <c r="CT192" s="27">
        <f>SUMIF($E$4:$E$184,"211",$CT$4:$CT$184)</f>
        <v>0</v>
      </c>
      <c r="CU192" s="27">
        <f>SUMIF($E$4:$E$184,"211",$CU$4:$CU$184)</f>
        <v>0</v>
      </c>
      <c r="CV192" s="26">
        <f>SUMIF($E$4:$E$184,"211",$CV$4:$CV$184)</f>
        <v>63202928</v>
      </c>
      <c r="CW192" s="25">
        <f t="shared" si="339"/>
        <v>0.54099904910572882</v>
      </c>
      <c r="CX192" s="24">
        <f t="shared" ca="1" si="340"/>
        <v>2108351822</v>
      </c>
      <c r="CY192" s="23">
        <f>SUMIF($E$4:$E$186,"211",$CY$4:$CY$186)</f>
        <v>0</v>
      </c>
      <c r="CZ192" s="22">
        <f ca="1">SUMIF($E$4:$E$187,"211",$CZ$4:$CZ$186)</f>
        <v>0</v>
      </c>
      <c r="DA192" s="22">
        <f>SUMIF($E$4:$E$186,"211",$DA$4:$DA$186)</f>
        <v>0</v>
      </c>
      <c r="DB192" s="22">
        <f>SUMIF($E$4:$E$186,"211",$DB$4:$DB$186)</f>
        <v>1753912775</v>
      </c>
      <c r="DC192" s="22">
        <f>SUMIF($E$4:$E$186,"211",$DC$4:$DC$186)</f>
        <v>0</v>
      </c>
      <c r="DD192" s="22">
        <f>SUMIF($E$4:$E$186,"211",$DD$4:$DD$186)</f>
        <v>1263762</v>
      </c>
      <c r="DE192" s="22">
        <f>SUMIF($E$4:$E$186,"211",$DE$4:$DE$186)</f>
        <v>0</v>
      </c>
      <c r="DF192" s="22">
        <f>SUMIF($E$4:$E$186,"211",$DF$4:$DF$186)</f>
        <v>0</v>
      </c>
      <c r="DG192" s="21">
        <f>SUMIF($E$4:$E$184,"211",$DG$4:$DG$184)</f>
        <v>0</v>
      </c>
      <c r="DH192" s="21">
        <f>SUMIF($E$4:$E$184,"211",$DH$4:$DH$184)</f>
        <v>0</v>
      </c>
      <c r="DI192" s="21">
        <f>SUMIF($E$4:$E$186,"211",$DI$4:$DI$186)</f>
        <v>0</v>
      </c>
      <c r="DJ192" s="21">
        <f>SUMIF($E$4:$E$184,"211",$DJ$4:$DJ$184)</f>
        <v>91629167</v>
      </c>
      <c r="DK192" s="21">
        <f>SUMIF($E$4:$E$184,"211",$DK$4:$DK$184)</f>
        <v>0</v>
      </c>
      <c r="DL192" s="21">
        <f>SUMIF($E$4:$E$186,"211",$DL$4:$DL$186)</f>
        <v>0</v>
      </c>
      <c r="DM192" s="21">
        <f>SUMIF($E$4:$E$186,"211",$DM$4:$DM$186)</f>
        <v>0</v>
      </c>
      <c r="DN192" s="21">
        <f>SUMIF($E$4:$E$184,"211",$DN$4:$DN$184)</f>
        <v>17553983</v>
      </c>
      <c r="DO192" s="21">
        <f>SUMIF($E$4:$E$184,"211",$DO$4:$DO$184)</f>
        <v>0</v>
      </c>
      <c r="DP192" s="21">
        <f>SUMIF($E$4:$E$184,"211",$DP$4:$DP$184)</f>
        <v>0</v>
      </c>
      <c r="DQ192" s="21">
        <f>SUMIF($E$4:$E$184,"211",$DQ$4:$DQ$184)</f>
        <v>92524043</v>
      </c>
      <c r="DR192" s="21">
        <f>SUMIF($E$4:$E$186,"211",$DR$4:$DR$186)</f>
        <v>151468092</v>
      </c>
    </row>
    <row r="193" spans="3:122" ht="25.5" customHeight="1" x14ac:dyDescent="0.25">
      <c r="C193" s="47"/>
      <c r="D193" s="35" t="s">
        <v>7</v>
      </c>
      <c r="E193" s="44">
        <v>310</v>
      </c>
      <c r="F193" s="32"/>
      <c r="G193" s="19">
        <f>SUMIF($E$4:$E$186,"310",$G$4:$G$186)</f>
        <v>1203000000</v>
      </c>
      <c r="H193" s="19">
        <f>SUMIF($E$4:$E$186,"310",$H$4:$H$186)</f>
        <v>565520784</v>
      </c>
      <c r="I193" s="19">
        <f>SUMIF($E$4:$E$186,"310",$I$4:$I$186)</f>
        <v>738732400</v>
      </c>
      <c r="J193" s="32"/>
      <c r="K193" s="32"/>
      <c r="L193" s="32"/>
      <c r="M193" s="27">
        <f>SUMIF($E$4:$E$186,"310",$M$4:$M$187)</f>
        <v>1304253184</v>
      </c>
      <c r="N193" s="27">
        <f>SUMIF($E$4:$E$186,"310",$N$4:$N$186)</f>
        <v>0</v>
      </c>
      <c r="O193" s="33">
        <f>SUMIF($E$4:$E$184,"310",$O$4:$O$184)</f>
        <v>0</v>
      </c>
      <c r="P193" s="33">
        <f>SUMIF($E$4:$E$187,"310",$P$4:$P$187)</f>
        <v>0</v>
      </c>
      <c r="Q193" s="33">
        <f>SUMIF($E$4:$E$184,"310",$Q$4:$Q$184)</f>
        <v>0</v>
      </c>
      <c r="R193" s="27">
        <f>SUMIF($E$4:$E$186,"310",$R$4:$R$186)</f>
        <v>0</v>
      </c>
      <c r="S193" s="32">
        <f>SUMIF($E$4:$E$184,"310",$S$4:$S$184)</f>
        <v>420000000</v>
      </c>
      <c r="T193" s="32">
        <f>SUMIF($E$4:$E$184,"310",$T$4:$T$184)</f>
        <v>321985144</v>
      </c>
      <c r="U193" s="32">
        <f>SUMIF($E$4:$E$184,"310",$U$4:$U$184)</f>
        <v>0</v>
      </c>
      <c r="V193" s="32">
        <f>SUMIF($E$4:$E$184,"310",$V$4:$V$184)</f>
        <v>0</v>
      </c>
      <c r="W193" s="32">
        <f>SUMIF($E$4:$E$184,"310",$W$4:$W$184)</f>
        <v>0</v>
      </c>
      <c r="X193" s="32">
        <f>SUMIF($E$4:$E$184,"310",$X$4:$X$184)</f>
        <v>0</v>
      </c>
      <c r="Y193" s="32">
        <f>SUMIF($E$4:$E$184,"310",$Y$4:$Y$184)</f>
        <v>0</v>
      </c>
      <c r="Z193" s="32">
        <f>SUMIF($E$4:$E$184,"310",$Z$4:$Z$184)</f>
        <v>0</v>
      </c>
      <c r="AA193" s="32">
        <f>SUMIF($E$4:$E$184,"310",$AA$4:$AA$184)</f>
        <v>0</v>
      </c>
      <c r="AB193" s="32">
        <f>SUMIF($E$4:$E$184,"310",$AB$4:$AB$184)</f>
        <v>161000000</v>
      </c>
      <c r="AC193" s="32">
        <f>SUMIF($E$4:$E$184,"310",$AC$4:$AC$184)</f>
        <v>273344421</v>
      </c>
      <c r="AD193" s="32">
        <f>SUMIF($E$4:$E$155,"310",$AD$4:$AD$155)</f>
        <v>0</v>
      </c>
      <c r="AE193" s="32">
        <f>SUMIF($E$4:$E$184,"310",$AE$4:$AE$184)</f>
        <v>0</v>
      </c>
      <c r="AF193" s="32">
        <f>SUMIF($E$4:$E$184,"310",$AF$4:$AF$184)</f>
        <v>0</v>
      </c>
      <c r="AG193" s="32">
        <f>SUMIF($E$4:$E$186,"310",$AG$4:$AG$186)</f>
        <v>127923619</v>
      </c>
      <c r="AI193" s="31">
        <f t="shared" si="333"/>
        <v>0.56933490683354926</v>
      </c>
      <c r="AJ193" s="46">
        <f t="shared" si="334"/>
        <v>742556865</v>
      </c>
      <c r="AK193" s="27">
        <f>SUMIF($E$4:$E$184,"310",$AK$4:$AK$184)</f>
        <v>0</v>
      </c>
      <c r="AL193" s="27">
        <f>SUMIF($E$4:$E$186,"310",$AL$4:$AL$186)</f>
        <v>0</v>
      </c>
      <c r="AM193" s="27">
        <f>SUMIF($E$4:$E$186,"310",$AM$4:$AM$186)</f>
        <v>0</v>
      </c>
      <c r="AN193" s="27">
        <f>SUMIF($E$4:$E$186,"310",$AN$4:$AN$186)</f>
        <v>0</v>
      </c>
      <c r="AO193" s="27">
        <f>SUMIF($E$4:$E$184,"310",$AO$4:$AO$184)</f>
        <v>0</v>
      </c>
      <c r="AP193" s="27">
        <f>SUMIF($E$4:$E$184,"310",$AP$4:$AP$184)</f>
        <v>184777628</v>
      </c>
      <c r="AQ193" s="27">
        <f>SUMIF($E$4:$E$186,"310",$AQ$4:$AQ$186)</f>
        <v>179680675</v>
      </c>
      <c r="AR193" s="27">
        <f>SUMIF($E$4:$E$186,"310",$AR$4:$AR$186)</f>
        <v>0</v>
      </c>
      <c r="AS193" s="27">
        <f>SUMIF($E$4:$E$184,"310",$AS$4:$AS$184)</f>
        <v>0</v>
      </c>
      <c r="AT193" s="27">
        <f>SUMIF($E$4:$E$184,"310",$AT$4:$AT$184)</f>
        <v>0</v>
      </c>
      <c r="AU193" s="27">
        <f>SUMIF($E$4:$E$155,"310",$AU$4:$AU$155)</f>
        <v>0</v>
      </c>
      <c r="AV193" s="27">
        <f>SUMIF($E$4:$E$184,"310",$AV$4:$AV$184)</f>
        <v>0</v>
      </c>
      <c r="AW193" s="27">
        <f>SUMIF($E$4:$E$184,"310",$AW$4:$AW$184)</f>
        <v>0</v>
      </c>
      <c r="AX193" s="27">
        <f>SUMIF($E$4:$E$184,"310",$AX$4:$AX$184)</f>
        <v>0</v>
      </c>
      <c r="AY193" s="27">
        <f>SUMIF($E$4:$E$186,"310",$AY$4:$AY$186)</f>
        <v>0</v>
      </c>
      <c r="AZ193" s="27">
        <f>SUMIF($E$4:$E$184,"310",$AZ$4:$AZ$184)</f>
        <v>273344421</v>
      </c>
      <c r="BA193" s="27">
        <f>SUMIF($E$4:$E$184,"310",$BA$4:$BA$184)</f>
        <v>0</v>
      </c>
      <c r="BB193" s="27">
        <f>SUMIF($E$4:$E$184,"310",$BB$4:$BB$184)</f>
        <v>0</v>
      </c>
      <c r="BC193" s="27">
        <f>SUMIF($E$4:$E$184,"310",$BC$4:$BC$184)</f>
        <v>0</v>
      </c>
      <c r="BD193" s="27">
        <f>SUMIF($E$4:$E$186,"310",$BD$4:$BD$186)</f>
        <v>104754141</v>
      </c>
      <c r="BE193" s="16">
        <f t="shared" si="335"/>
        <v>0.43066509316645074</v>
      </c>
      <c r="BF193" s="24">
        <f t="shared" si="336"/>
        <v>561696319</v>
      </c>
      <c r="BG193" s="22">
        <f>SUMIF($E$4:$E$184,"310",$BG$4:$BG$184)</f>
        <v>0</v>
      </c>
      <c r="BH193" s="22">
        <f>SUMIF($E$4:$E$184,"310",$BH$4:$BH$184)</f>
        <v>0</v>
      </c>
      <c r="BI193" s="22">
        <f>SUMIF($E$4:$E$184,"310",$BI$4:$BI$184)</f>
        <v>0</v>
      </c>
      <c r="BJ193" s="22">
        <f>SUMIF($E$4:$E$186,"310",$BJ$4:$BJ$186)</f>
        <v>0</v>
      </c>
      <c r="BK193" s="22">
        <f>SUMIF($E$4:$E$186,"310",$BK$4:$BK$186)</f>
        <v>0</v>
      </c>
      <c r="BL193" s="22">
        <f>SUMIF($E$4:$E$186,"310",$BL$4:$BL$186)</f>
        <v>235222372</v>
      </c>
      <c r="BM193" s="22">
        <f>SUMIF($E$4:$E$186,"310",$BM$4:$BM$186)</f>
        <v>142304469</v>
      </c>
      <c r="BN193" s="22">
        <f>SUMIF($E$4:$E$184,"310",$BN$4:$BN$184)</f>
        <v>0</v>
      </c>
      <c r="BO193" s="22">
        <f>SUMIF($E$4:$E$184,"310",$BO$4:$BO$184)</f>
        <v>0</v>
      </c>
      <c r="BP193" s="22">
        <f>SUMIF($E$4:$E$184,"310",$BP$4:$BP$184)</f>
        <v>0</v>
      </c>
      <c r="BQ193" s="22">
        <f>SUMIF($E$4:$E$184,"310",$BQ$4:$BQ$184)</f>
        <v>0</v>
      </c>
      <c r="BR193" s="22">
        <f>SUMIF($E$4:$E$184,"310",$BR$4:$BR$184)</f>
        <v>0</v>
      </c>
      <c r="BS193" s="22">
        <f>SUMIF($E$4:$E$184,"310",$BS$4:$BS$184)</f>
        <v>0</v>
      </c>
      <c r="BT193" s="22">
        <f>SUMIF($E$4:$E$184,"310",$BT$4:$BT$184)</f>
        <v>0</v>
      </c>
      <c r="BU193" s="22">
        <f>SUMIF($E$4:$E$184,"310",$BU$4:$BU$184)</f>
        <v>161000000</v>
      </c>
      <c r="BV193" s="22">
        <f>SUMIF($E$4:$E$184,"310",$BV$4:$BV$184)</f>
        <v>0</v>
      </c>
      <c r="BW193" s="22">
        <f>SUMIF($E$4:$E$184,"310",$BW$4:$BW$184)</f>
        <v>0</v>
      </c>
      <c r="BX193" s="22">
        <f>SUMIF($E$4:$E$184,"310",$BX$4:$BX$184)</f>
        <v>0</v>
      </c>
      <c r="BY193" s="22">
        <f>SUMIF($E$4:$E$184,"310",$BY$4:$BY$184)</f>
        <v>0</v>
      </c>
      <c r="BZ193" s="29">
        <f>SUMIF($E$4:$E$186,"310",$BZ$4:$BZ$186)</f>
        <v>23169478</v>
      </c>
      <c r="CA193" s="28">
        <f t="shared" si="337"/>
        <v>0.43359739576453277</v>
      </c>
      <c r="CB193" s="45">
        <f t="shared" si="338"/>
        <v>565520784</v>
      </c>
      <c r="CC193" s="27">
        <f>SUMIF($E$4:$E$186,"310",$CC$4:$CC$186)</f>
        <v>0</v>
      </c>
      <c r="CD193" s="27">
        <f>SUMIF($E$4:$E$184,"310",$CD$4:$CD$184)</f>
        <v>0</v>
      </c>
      <c r="CE193" s="27">
        <f>SUMIF($E$4:$E$184,"310",$CE$4:$CE$184)</f>
        <v>0</v>
      </c>
      <c r="CF193" s="27">
        <f>SUMIF($E$4:$E$184,"310",$CF$4:$CF$184)</f>
        <v>0</v>
      </c>
      <c r="CG193" s="27">
        <f>SUMIF($E$4:$E$186,"310",$CG$4:$CG$186)</f>
        <v>0</v>
      </c>
      <c r="CH193" s="27">
        <f>SUMIF($E$4:$E$186,"310",$CH$4:$CH$186)</f>
        <v>182755378</v>
      </c>
      <c r="CI193" s="27">
        <f>SUMIF($E$4:$E$186,"310",$CI$4:$CI$186)</f>
        <v>171931109</v>
      </c>
      <c r="CJ193" s="27">
        <f>SUMIF($E$4:$E$186,"310",$CJ$4:$CJ$186)</f>
        <v>0</v>
      </c>
      <c r="CK193" s="27">
        <f>SUMIF($E$4:$E$184,"310",$CK$4:$CK$184)</f>
        <v>0</v>
      </c>
      <c r="CL193" s="27">
        <f>SUMIF($E$4:$E$184,"310",$CL$4:$CL$184)</f>
        <v>0</v>
      </c>
      <c r="CM193" s="27">
        <f>SUMIF($E$4:$E$184,"310",$CM$4:$CM$184)</f>
        <v>0</v>
      </c>
      <c r="CN193" s="27">
        <f>SUMIF($E$4:$E$184,"310",$CN$4:$CN$184)</f>
        <v>0</v>
      </c>
      <c r="CO193" s="27">
        <f>SUMIF($E$4:$E$184,"310",$CO$4:$CO$184)</f>
        <v>0</v>
      </c>
      <c r="CP193" s="27">
        <f>SUMIF($E$4:$E$184,"310",$CP$4:$CP$184)</f>
        <v>0</v>
      </c>
      <c r="CQ193" s="27">
        <f>SUMIF($E$4:$E$184,"310",$CQ$4:$CQ$184)</f>
        <v>0</v>
      </c>
      <c r="CR193" s="27">
        <f>SUMIF($E$4:$E$186,"310",$CR$4:$CR$186)</f>
        <v>158967073</v>
      </c>
      <c r="CS193" s="27">
        <f>SUMIF($E$4:$E$184,"310",$CS$4:$CS$184)</f>
        <v>0</v>
      </c>
      <c r="CT193" s="27">
        <f>SUMIF($E$4:$E$184,"310",$CT$4:$CT$184)</f>
        <v>0</v>
      </c>
      <c r="CU193" s="27">
        <f>SUMIF($E$4:$E$184,"310",$CU$4:$CU$184)</f>
        <v>0</v>
      </c>
      <c r="CV193" s="26">
        <f>SUMIF($E$4:$E$186,"310",$CV$4:$CV$186)</f>
        <v>51867224</v>
      </c>
      <c r="CW193" s="25">
        <f t="shared" si="339"/>
        <v>0.56640260423546729</v>
      </c>
      <c r="CX193" s="24">
        <f t="shared" si="340"/>
        <v>738732400</v>
      </c>
      <c r="CY193" s="23">
        <f>SUMIF($E$4:$E$186,"310",$CY$4:$CY$186)</f>
        <v>0</v>
      </c>
      <c r="CZ193" s="22">
        <f>SUMIF($E$4:$E$184,"310",$CZ$4:$CZ$184)</f>
        <v>0</v>
      </c>
      <c r="DA193" s="22">
        <f>SUMIF($E$4:$E$186,"310",$DA$4:$DA$186)</f>
        <v>0</v>
      </c>
      <c r="DB193" s="22">
        <f>SUMIF($E$4:$E$186,"310",$DB$4:$DB$186)</f>
        <v>0</v>
      </c>
      <c r="DC193" s="22">
        <f>SUMIF($E$4:$E$186,"310",$DC$4:$DC$186)</f>
        <v>0</v>
      </c>
      <c r="DD193" s="22">
        <f>SUMIF($E$4:$E$186,"310",$DD$4:$DD$186)</f>
        <v>237244622</v>
      </c>
      <c r="DE193" s="22">
        <f>SUMIF($E$4:$E$186,"310",$DE$4:$DE$186)</f>
        <v>150054035</v>
      </c>
      <c r="DF193" s="22">
        <f>SUMIF($E$4:$E$186,"310",$DF$4:$DF$186)</f>
        <v>0</v>
      </c>
      <c r="DG193" s="21">
        <f>SUMIF($E$4:$E$184,"310",$DG$4:$DG$184)</f>
        <v>0</v>
      </c>
      <c r="DH193" s="21">
        <f>SUMIF($E$4:$E$184,"310",$DH$4:$DH$184)</f>
        <v>0</v>
      </c>
      <c r="DI193" s="21">
        <f>SUMIF($E$4:$E$186,"310",$DI$4:$DI$186)</f>
        <v>0</v>
      </c>
      <c r="DJ193" s="21">
        <f>SUMIF($E$4:$E$184,"310",$DJ$4:$DJ$184)</f>
        <v>0</v>
      </c>
      <c r="DK193" s="21">
        <f>SUMIF($E$4:$E$184,"310",$DK$4:$DK$184)</f>
        <v>0</v>
      </c>
      <c r="DL193" s="21">
        <f>SUMIF($E$4:$E$186,"310",$DL$4:$DL$186)</f>
        <v>0</v>
      </c>
      <c r="DM193" s="21">
        <f>SUMIF($E$4:$E$186,"310",$DM$4:$DM$186)</f>
        <v>161000000</v>
      </c>
      <c r="DN193" s="21">
        <f>SUMIF($E$4:$E$186,"310",$DN$4:$DN$186)</f>
        <v>114377348</v>
      </c>
      <c r="DO193" s="21">
        <f>SUMIF($E$4:$E$184,"310",$DO$4:$DO$184)</f>
        <v>0</v>
      </c>
      <c r="DP193" s="21">
        <f>SUMIF($E$4:$E$184,"310",$DP$4:$DP$184)</f>
        <v>0</v>
      </c>
      <c r="DQ193" s="21">
        <f>SUMIF($E$4:$E$184,"310",$DQ$4:$DQ$184)</f>
        <v>0</v>
      </c>
      <c r="DR193" s="21">
        <f>SUMIF($E$4:$E$186,"310",$DR$4:$DR$186)</f>
        <v>76056395</v>
      </c>
    </row>
    <row r="194" spans="3:122" x14ac:dyDescent="0.25">
      <c r="C194" s="36"/>
      <c r="D194" s="35" t="s">
        <v>6</v>
      </c>
      <c r="E194" s="44">
        <v>410</v>
      </c>
      <c r="F194" s="32"/>
      <c r="G194" s="19">
        <f>SUMIF($E$4:$E$186,"410",$G$4:$G$186)</f>
        <v>4593000000</v>
      </c>
      <c r="H194" s="19">
        <f>SUMIF($E$4:$E$186,"410",$H$4:$H$186)</f>
        <v>3115857051</v>
      </c>
      <c r="I194" s="19">
        <f>SUMIF($E$4:$E$186,"410",$I$4:$I$186)</f>
        <v>3366660918</v>
      </c>
      <c r="J194" s="32"/>
      <c r="K194" s="32"/>
      <c r="L194" s="32"/>
      <c r="M194" s="27">
        <f>SUMIF($E$4:$E$186,"410",$M$4:$M$186)</f>
        <v>6482517969</v>
      </c>
      <c r="N194" s="27">
        <f>SUMIF($E$4:$E$186,"410",$N$4:$N$186)</f>
        <v>0</v>
      </c>
      <c r="O194" s="33">
        <f>SUMIF($E$4:$E$184,"410",$O$4:$O$184)</f>
        <v>134533656</v>
      </c>
      <c r="P194" s="33">
        <f>SUMIF($E$4:$E$187,"410",$P$4:$P$187)</f>
        <v>396726534</v>
      </c>
      <c r="Q194" s="33">
        <f>SUMIF($E$4:$E$187,"410",$Q$4:$Q$187)</f>
        <v>775722031</v>
      </c>
      <c r="R194" s="27">
        <f>SUMIF($E$4:$E$186,"410",$R$4:$R$186)</f>
        <v>0</v>
      </c>
      <c r="S194" s="32">
        <f>SUMIF($E$4:$E$184,"410",$S$4:$S$184)</f>
        <v>544180877</v>
      </c>
      <c r="T194" s="32">
        <f>SUMIF($E$4:$E$184,"410",$T$4:$T$184)</f>
        <v>55000000</v>
      </c>
      <c r="U194" s="32">
        <f>SUMIF($E$4:$E$184,"410",$U$4:$U$184)</f>
        <v>102810569</v>
      </c>
      <c r="V194" s="32">
        <f>SUMIF($E$4:$E$184,"410",$V$4:$V$184)</f>
        <v>219471348</v>
      </c>
      <c r="W194" s="32">
        <f>SUMIF($E$4:$E$184,"410",$W$4:$W$184)</f>
        <v>0</v>
      </c>
      <c r="X194" s="32">
        <f>SUMIF($E$4:$E$184,"410",$X$4:$X$184)</f>
        <v>0</v>
      </c>
      <c r="Y194" s="32">
        <f>SUMIF($E$4:$E$184,"410",$Y$4:$Y$184)</f>
        <v>0</v>
      </c>
      <c r="Z194" s="32">
        <f>SUMIF($E$4:$E$184,"410",$Z$4:$Z$184)</f>
        <v>3504013680</v>
      </c>
      <c r="AA194" s="32">
        <f>SUMIF($E$4:$E$184,"410",$AA$4:$AA$184)</f>
        <v>78609139</v>
      </c>
      <c r="AB194" s="32">
        <f>SUMIF($E$4:$E$184,"410",$AB$4:$AB$184)</f>
        <v>251718083</v>
      </c>
      <c r="AC194" s="32">
        <f>SUMIF($E$4:$E$155,"410",$AC$4:$AC$155)</f>
        <v>261973650</v>
      </c>
      <c r="AD194" s="32">
        <f>SUMIF($E$4:$E$155,"410",$AD$4:$AD$155)</f>
        <v>0</v>
      </c>
      <c r="AE194" s="32">
        <f>SUMIF($E$4:$E$184,"410",$AE$4:$AE$184)</f>
        <v>80844085</v>
      </c>
      <c r="AF194" s="32">
        <f>SUMIF($E$4:$E$184,"410",$AF$4:$AF$184)</f>
        <v>0</v>
      </c>
      <c r="AG194" s="32">
        <f>SUMIF($E$4:$E$186,"410",$AG$4:$AG$186)</f>
        <v>76914317</v>
      </c>
      <c r="AI194" s="31">
        <f t="shared" si="333"/>
        <v>0.81929652943473397</v>
      </c>
      <c r="AJ194" s="30">
        <f t="shared" si="334"/>
        <v>5311104474</v>
      </c>
      <c r="AK194" s="27">
        <f>SUMIF($E$4:$E$184,"410",$AK$4:$AK$184)</f>
        <v>0</v>
      </c>
      <c r="AL194" s="27">
        <f>SUMIF($E$4:$E$186,"410",$AL$4:$AL$186)</f>
        <v>133268976</v>
      </c>
      <c r="AM194" s="27">
        <f>SUMIF($E$4:$E$186,"410",$AM$4:$AM$186)</f>
        <v>396726534</v>
      </c>
      <c r="AN194" s="27">
        <f>SUMIF($E$4:$E$186,"410",$AN$4:$AN$186)</f>
        <v>775722031</v>
      </c>
      <c r="AO194" s="27">
        <f>SUMIF($E$4:$E$184,"410",$AO$4:$AO$184)</f>
        <v>0</v>
      </c>
      <c r="AP194" s="27">
        <f>SUMIF($E$4:$E$184,"410",$AP$4:$AP$184)</f>
        <v>544180877</v>
      </c>
      <c r="AQ194" s="27">
        <f>SUMIF($E$4:$E$186,"410",$AQ$4:$AQ$186)</f>
        <v>55000000</v>
      </c>
      <c r="AR194" s="27">
        <f>SUMIF($E$4:$E$186,"410",$AR$4:$AR$186)</f>
        <v>102810569</v>
      </c>
      <c r="AS194" s="27">
        <f>SUMIF($E$4:$E$184,"410",$AS$4:$AS$184)</f>
        <v>219471348</v>
      </c>
      <c r="AT194" s="27">
        <f>SUMIF($E$4:$E$184,"410",$AT$4:$AT$184)</f>
        <v>0</v>
      </c>
      <c r="AU194" s="27">
        <f>SUMIF($E$4:$E$155,"410",$AU$4:$AU$155)</f>
        <v>0</v>
      </c>
      <c r="AV194" s="27">
        <f>SUMIF($E$4:$E$184,"410",$AV$4:$AV$184)</f>
        <v>0</v>
      </c>
      <c r="AW194" s="27">
        <f>SUMIF($E$4:$E$184,"410",$AW$4:$AW$184)</f>
        <v>2385795017</v>
      </c>
      <c r="AX194" s="27">
        <f>SUMIF($E$4:$E$184,"410",$AX$4:$AX$184)</f>
        <v>68609139</v>
      </c>
      <c r="AY194" s="27">
        <f>SUMIF($E$4:$E$186,"410",$AY$4:$AY$186)</f>
        <v>235765054</v>
      </c>
      <c r="AZ194" s="27">
        <f>SUMIF($E$4:$E$184,"410",$AZ$4:$AZ$184)</f>
        <v>261973590</v>
      </c>
      <c r="BA194" s="27">
        <f>SUMIF($E$4:$E$184,"410",$BA$4:$BA$184)</f>
        <v>0</v>
      </c>
      <c r="BB194" s="27">
        <f>SUMIF($E$4:$E$184,"410",$BB$4:$BB$184)</f>
        <v>80844085</v>
      </c>
      <c r="BC194" s="27">
        <f>SUMIF($E$4:$E$184,"410",$BC$4:$BC$184)</f>
        <v>0</v>
      </c>
      <c r="BD194" s="27">
        <f>SUMIF($E$4:$E$186,"410",$BD$4:$BD$186)</f>
        <v>50937254</v>
      </c>
      <c r="BE194" s="16">
        <f t="shared" si="335"/>
        <v>0.18070347056526603</v>
      </c>
      <c r="BF194" s="24">
        <f t="shared" si="336"/>
        <v>1171413495</v>
      </c>
      <c r="BG194" s="22">
        <f>SUMIF($E$4:$E$184,"410",$BG$4:$BG$184)</f>
        <v>0</v>
      </c>
      <c r="BH194" s="22">
        <f>SUMIF($E$4:$E$184,"410",$BH$4:$BH$184)</f>
        <v>1264680</v>
      </c>
      <c r="BI194" s="22">
        <f>SUMIF($E$4:$E$184,"410",$BI$4:$BI$184)</f>
        <v>0</v>
      </c>
      <c r="BJ194" s="22">
        <f>SUMIF($E$4:$E$186,"410",$BJ$4:$BJ$186)</f>
        <v>0</v>
      </c>
      <c r="BK194" s="22">
        <f>SUMIF($E$4:$E$186,"410",$BK$4:$BK$186)</f>
        <v>0</v>
      </c>
      <c r="BL194" s="22">
        <f>SUMIF($E$4:$E$186,"410",$BL$4:$BL$186)</f>
        <v>0</v>
      </c>
      <c r="BM194" s="22">
        <f>SUMIF($E$4:$E$184,"410",$BM$4:$BM$184)</f>
        <v>0</v>
      </c>
      <c r="BN194" s="22">
        <f>SUMIF($E$4:$E$184,"410",$BN$4:$BN$184)</f>
        <v>0</v>
      </c>
      <c r="BO194" s="22">
        <f>SUMIF($E$4:$E$184,"410",$BO$4:$BO$184)</f>
        <v>0</v>
      </c>
      <c r="BP194" s="22">
        <f>SUMIF($E$4:$E$184,"410",$BP$4:$BP$184)</f>
        <v>0</v>
      </c>
      <c r="BQ194" s="22">
        <f>SUMIF($E$4:$E$184,"410",$BQ$4:$BQ$184)</f>
        <v>0</v>
      </c>
      <c r="BR194" s="22">
        <f>SUMIF($E$4:$E$184,"410",$BR$4:$BR$184)</f>
        <v>0</v>
      </c>
      <c r="BS194" s="22">
        <f>SUMIF($E$4:$E$184,"410",$BS$4:$BS$184)</f>
        <v>1118218663</v>
      </c>
      <c r="BT194" s="22">
        <f>SUMIF($E$4:$E$184,"410",$BT$4:$BT$184)</f>
        <v>10000000</v>
      </c>
      <c r="BU194" s="22">
        <f>SUMIF($E$4:$E$184,"410",$BU$4:$BU$184)</f>
        <v>15953029</v>
      </c>
      <c r="BV194" s="22">
        <f>SUMIF($E$4:$E$184,"410",$BV$4:$BV$184)</f>
        <v>60</v>
      </c>
      <c r="BW194" s="22">
        <f>SUMIF($E$4:$E$184,"510",$BW$4:$BW$184)</f>
        <v>0</v>
      </c>
      <c r="BX194" s="22">
        <f>SUMIF($E$4:$E$184,"410",$BX$4:$BX$184)</f>
        <v>0</v>
      </c>
      <c r="BY194" s="22">
        <f>SUMIF($E$4:$E$184,"410",$BY$4:$BY$184)</f>
        <v>0</v>
      </c>
      <c r="BZ194" s="29">
        <f>SUMIF($E$4:$E$186,"410",$BZ$4:$BZ$186)</f>
        <v>25977063</v>
      </c>
      <c r="CA194" s="28">
        <f t="shared" si="337"/>
        <v>0.48065536661839064</v>
      </c>
      <c r="CB194" s="24">
        <f t="shared" si="338"/>
        <v>3115857051</v>
      </c>
      <c r="CC194" s="27">
        <f>SUMIF($E$4:$E$186,"410",$CC$4:$CC$186)</f>
        <v>0</v>
      </c>
      <c r="CD194" s="27">
        <f>SUMIF($E$4:$E$184,"410",$CD$4:$CD$184)</f>
        <v>133268976</v>
      </c>
      <c r="CE194" s="27">
        <f>SUMIF($E$4:$E$184,"410",$CE$4:$CE$184)</f>
        <v>396726534</v>
      </c>
      <c r="CF194" s="27">
        <f>SUMIF($E$4:$E$184,"410",$CF$4:$CF$184)</f>
        <v>560309881</v>
      </c>
      <c r="CG194" s="27">
        <f>SUMIF($E$4:$E$186,"410",$CG$4:$CG$186)</f>
        <v>0</v>
      </c>
      <c r="CH194" s="27">
        <f>SUMIF($E$4:$E$184,"410",$CH$4:$CH$184)</f>
        <v>373292464</v>
      </c>
      <c r="CI194" s="27">
        <f>SUMIF($E$4:$E$184,"410",$CI$4:$CI$184)</f>
        <v>36214247</v>
      </c>
      <c r="CJ194" s="27">
        <f>SUMIF($E$4:$E$186,"410",$CJ$4:$CJ$186)</f>
        <v>102810569</v>
      </c>
      <c r="CK194" s="27">
        <f>SUMIF($E$4:$E$184,"410",$CK$4:$CK$184)</f>
        <v>127534316</v>
      </c>
      <c r="CL194" s="27">
        <f>SUMIF($E$4:$E$184,"410",$CL$4:$CL$184)</f>
        <v>0</v>
      </c>
      <c r="CM194" s="27">
        <f>SUMIF($E$4:$E$184,"410",$CM$4:$CM$184)</f>
        <v>0</v>
      </c>
      <c r="CN194" s="27">
        <f>SUMIF($E$4:$E$184,"410",$CN$4:$CN$184)</f>
        <v>0</v>
      </c>
      <c r="CO194" s="27">
        <f>SUMIF($E$4:$E$184,"410",$CO$4:$CO$184)</f>
        <v>1103661099</v>
      </c>
      <c r="CP194" s="27">
        <f>SUMIF($E$4:$E$184,"410",$CP$4:$CP$184)</f>
        <v>48706082</v>
      </c>
      <c r="CQ194" s="27">
        <f>SUMIF($E$4:$E$184,"410",$CQ$4:$CQ$184)</f>
        <v>136779453</v>
      </c>
      <c r="CR194" s="27">
        <f>SUMIF($E$4:$E$184,"410",$CR$4:$CR$184)</f>
        <v>56878541</v>
      </c>
      <c r="CS194" s="27">
        <f>SUMIF($E$4:$E$184,"410",$CS$4:$CS$184)</f>
        <v>0</v>
      </c>
      <c r="CT194" s="27">
        <f>SUMIF($E$4:$E$184,"410",$CT$4:$CT$184)</f>
        <v>25815097</v>
      </c>
      <c r="CU194" s="27">
        <f>SUMIF($E$4:$E$184,"410",$CU$4:$CU$184)</f>
        <v>0</v>
      </c>
      <c r="CV194" s="26">
        <f>SUMIF($E$4:$E$184,"410",$CV$4:$CV$184)</f>
        <v>13859792</v>
      </c>
      <c r="CW194" s="25">
        <f t="shared" si="339"/>
        <v>0.51934463338160941</v>
      </c>
      <c r="CX194" s="24">
        <f t="shared" si="340"/>
        <v>3366660918</v>
      </c>
      <c r="CY194" s="23">
        <f>SUMIF($E$4:$E$186,"410",$CY$4:$CY$186)</f>
        <v>0</v>
      </c>
      <c r="CZ194" s="22">
        <f>SUMIF($E$4:$E$184,"410",$CZ$4:$CZ$184)</f>
        <v>1264680</v>
      </c>
      <c r="DA194" s="22">
        <f>SUMIF($E$4:$E$186,"410",$DA$4:$DA$186)</f>
        <v>0</v>
      </c>
      <c r="DB194" s="22">
        <f>SUMIF($E$4:$E$186,"410",$DB$4:$DB$186)</f>
        <v>215412150</v>
      </c>
      <c r="DC194" s="22">
        <f>SUMIF($E$4:$E$186,"410",$DC$4:$DC$186)</f>
        <v>0</v>
      </c>
      <c r="DD194" s="22">
        <f>SUMIF($E$4:$E$186,"410",$DD$4:$DD$186)</f>
        <v>170888413</v>
      </c>
      <c r="DE194" s="22">
        <f>SUMIF($E$4:$E$186,"410",$DE$4:$DE$186)</f>
        <v>18785753</v>
      </c>
      <c r="DF194" s="22">
        <f>SUMIF($E$4:$E$186,"410",$DF$4:$DF$186)</f>
        <v>0</v>
      </c>
      <c r="DG194" s="21">
        <f>SUMIF($E$4:$E$184,"410",$DG$4:$DG$184)</f>
        <v>91937032</v>
      </c>
      <c r="DH194" s="21">
        <f>SUMIF($E$4:$E$184,"410",$DH$4:$DH$184)</f>
        <v>0</v>
      </c>
      <c r="DI194" s="21">
        <f>SUMIF($E$4:$E$186,"410",$DI$4:$DI$186)</f>
        <v>0</v>
      </c>
      <c r="DJ194" s="21">
        <f>SUMIF($E$4:$E$184,"410",$DJ$4:$DJ$184)</f>
        <v>0</v>
      </c>
      <c r="DK194" s="21">
        <f>SUMIF($E$4:$E$184,"410",$DK$4:$DK$184)</f>
        <v>2400352581</v>
      </c>
      <c r="DL194" s="21">
        <f>SUMIF($E$4:$E$186,"410",$DL$4:$DL$186)</f>
        <v>29903057</v>
      </c>
      <c r="DM194" s="21">
        <f>SUMIF($E$4:$E$186,"410",$DM$4:$DM$186)</f>
        <v>114938630</v>
      </c>
      <c r="DN194" s="21">
        <f>SUMIF($E$4:$E$184,"410",$DN$4:$DN$184)</f>
        <v>205095109</v>
      </c>
      <c r="DO194" s="21">
        <f>SUMIF($E$4:$E$184,"410",$DO$4:$DO$184)</f>
        <v>0</v>
      </c>
      <c r="DP194" s="21">
        <f>SUMIF($E$4:$E$184,"410",$DP$4:$DP$184)</f>
        <v>55028988</v>
      </c>
      <c r="DQ194" s="21">
        <f>SUMIF($E$4:$E$184,"410",$DQ$4:$DQ$184)</f>
        <v>0</v>
      </c>
      <c r="DR194" s="21">
        <f>SUMIF($E$4:$E$186,"410",$DR$4:$DR$186)</f>
        <v>63054525</v>
      </c>
    </row>
    <row r="195" spans="3:122" ht="14.25" customHeight="1" x14ac:dyDescent="0.25">
      <c r="C195" s="36"/>
      <c r="D195" s="35" t="s">
        <v>5</v>
      </c>
      <c r="E195" s="44">
        <v>510</v>
      </c>
      <c r="F195" s="32"/>
      <c r="G195" s="19">
        <f>SUMIF($E$4:$E$186,"510",$G$4:$G$186)</f>
        <v>1300000000</v>
      </c>
      <c r="H195" s="19">
        <f>SUMIF($E$4:$E$186,"510",$H$4:$H$186)</f>
        <v>719562117</v>
      </c>
      <c r="I195" s="19">
        <f>SUMIF($E$4:$E$186,"510",$I$4:$I$186)</f>
        <v>711137883</v>
      </c>
      <c r="J195" s="32"/>
      <c r="K195" s="32"/>
      <c r="L195" s="32"/>
      <c r="M195" s="27">
        <f>SUMIF($E$4:$E$186,"510",$M$4:$M$186)</f>
        <v>1430700000</v>
      </c>
      <c r="N195" s="27">
        <f>SUMIF($E$4:$E$186,"510",$N$4:$N$186)</f>
        <v>0</v>
      </c>
      <c r="O195" s="33">
        <f>SUMIF($E$4:$E$184,"510",$O$4:$O$184)</f>
        <v>0</v>
      </c>
      <c r="P195" s="33">
        <f>SUMIF($E$4:$E$187,"510",$P$4:$P$187)</f>
        <v>0</v>
      </c>
      <c r="Q195" s="33">
        <f>SUMIF($E$4:$E$187,"510",$Q$4:$Q$187)</f>
        <v>0</v>
      </c>
      <c r="R195" s="27">
        <f>SUMIF($E$4:$E$186,"510",$R$4:$R$186)</f>
        <v>0</v>
      </c>
      <c r="S195" s="32">
        <f>SUMIF($E$4:$E$184,"510",$S$4:$S$184)</f>
        <v>670000000</v>
      </c>
      <c r="T195" s="32">
        <f>SUMIF($E$4:$E$184,"510",$T$4:$T$184)</f>
        <v>0</v>
      </c>
      <c r="U195" s="32">
        <f>SUMIF($E$4:$E$184,"510",$U$4:$U$184)</f>
        <v>0</v>
      </c>
      <c r="V195" s="32">
        <f>SUMIF($E$4:$E$184,"510",$V$4:$V$184)</f>
        <v>0</v>
      </c>
      <c r="W195" s="32">
        <f>SUMIF($E$4:$E$184,"510",$W$4:$W$184)</f>
        <v>0</v>
      </c>
      <c r="X195" s="32">
        <f>SUMIF($E$4:$E$184,"510",$X$4:$X$184)</f>
        <v>0</v>
      </c>
      <c r="Y195" s="32">
        <f>SUMIF($E$4:$E$184,"510",$Y$4:$Y$184)</f>
        <v>0</v>
      </c>
      <c r="Z195" s="32">
        <f>SUMIF($E$4:$E$184,"510",$Z$4:$Z$184)</f>
        <v>0</v>
      </c>
      <c r="AA195" s="32">
        <f>SUMIF($E$4:$E$184,"510",$AA$4:$AA$184)</f>
        <v>270000000</v>
      </c>
      <c r="AB195" s="32">
        <f>SUMIF($E$4:$E$184,"510",$AB$4:$AB$184)</f>
        <v>150000000</v>
      </c>
      <c r="AC195" s="32">
        <f>SUMIF($E$4:$E$184,"510",$AC$4:$AC$184)</f>
        <v>239500000</v>
      </c>
      <c r="AD195" s="32">
        <f>SUMIF($E$4:$E$155,"510",$AD$4:$AD$155)</f>
        <v>0</v>
      </c>
      <c r="AE195" s="32">
        <f>SUMIF($E$4:$E$184,"510",$AE$4:$AE$184)</f>
        <v>0</v>
      </c>
      <c r="AF195" s="32">
        <f>SUMIF($E$4:$E$184,"510",$AF$4:$AF$184)</f>
        <v>0</v>
      </c>
      <c r="AG195" s="32">
        <f>SUMIF($E$4:$E$186,"510",$AG$4:$AG$186)</f>
        <v>101200000</v>
      </c>
      <c r="AI195" s="31">
        <f t="shared" si="333"/>
        <v>0.63691378136576504</v>
      </c>
      <c r="AJ195" s="30">
        <f t="shared" si="334"/>
        <v>911232547</v>
      </c>
      <c r="AK195" s="27">
        <f>SUMIF($E$4:$E$184,"510",$AK$4:$AK$184)</f>
        <v>0</v>
      </c>
      <c r="AL195" s="27">
        <f>SUMIF($E$4:$E$186,"510",$AL$4:$AL$186)</f>
        <v>0</v>
      </c>
      <c r="AM195" s="27">
        <f>SUMIF($E$4:$E$186,"510",$AM$4:$AM$186)</f>
        <v>0</v>
      </c>
      <c r="AN195" s="27">
        <f>SUMIF($E$4:$E$186,"510",$AN$4:$AN$186)</f>
        <v>0</v>
      </c>
      <c r="AO195" s="27">
        <f>SUMIF($E$4:$E$184,"510",$AO$4:$AO$184)</f>
        <v>0</v>
      </c>
      <c r="AP195" s="27">
        <f>SUMIF($E$4:$E$184,"510",$AP$4:$AP$184)</f>
        <v>370867951</v>
      </c>
      <c r="AQ195" s="27">
        <f>SUMIF($E$4:$E$186,"510",$AQ$4:$AQ$186)</f>
        <v>0</v>
      </c>
      <c r="AR195" s="27">
        <f>SUMIF($E$4:$E$186,"510",$AR$4:$AR$186)</f>
        <v>0</v>
      </c>
      <c r="AS195" s="27">
        <f>SUMIF($E$4:$E$184,"510",$AS$4:$AS$184)</f>
        <v>0</v>
      </c>
      <c r="AT195" s="27">
        <f>SUMIF($E$4:$E$184,"510",$AT$4:$AT$184)</f>
        <v>0</v>
      </c>
      <c r="AU195" s="27">
        <f>SUMIF($E$4:$E$155,"510",$AU$4:$AU$155)</f>
        <v>0</v>
      </c>
      <c r="AV195" s="27">
        <f>SUMIF($E$4:$E$184,"510",$AV$4:$AV$184)</f>
        <v>0</v>
      </c>
      <c r="AW195" s="27">
        <f>SUMIF($E$4:$E$184,"510",$AW$4:$AW$184)</f>
        <v>0</v>
      </c>
      <c r="AX195" s="27">
        <f>SUMIF($E$4:$E$184,"510",$AX$4:$AX$184)</f>
        <v>126214863</v>
      </c>
      <c r="AY195" s="27">
        <f>SUMIF($E$4:$E$186,"510",$AY$4:$AY$186)</f>
        <v>109649906</v>
      </c>
      <c r="AZ195" s="27">
        <f>SUMIF($E$4:$E$184,"510",$AZ$4:$AZ$184)</f>
        <v>227203720</v>
      </c>
      <c r="BA195" s="27">
        <f>SUMIF($E$4:$E$184,"510",$BA$4:$BA$184)</f>
        <v>0</v>
      </c>
      <c r="BB195" s="27">
        <f>SUMIF($E$4:$E$184,"510",$BB$4:$BB$184)</f>
        <v>0</v>
      </c>
      <c r="BC195" s="27">
        <f>SUMIF($E$4:$E$184," 510",$BC$4:$BC$184)</f>
        <v>0</v>
      </c>
      <c r="BD195" s="27">
        <f>SUMIF($E$4:$E$186,"510",$BD$4:$BD$186)</f>
        <v>77296107</v>
      </c>
      <c r="BE195" s="16">
        <f t="shared" si="335"/>
        <v>0.36308621863423496</v>
      </c>
      <c r="BF195" s="24">
        <f t="shared" si="336"/>
        <v>519467453</v>
      </c>
      <c r="BG195" s="22">
        <f>SUMIF($E$4:$E$184,"510",$BG$4:$BG$184)</f>
        <v>0</v>
      </c>
      <c r="BH195" s="22">
        <f>SUMIF($E$4:$E$184,"510",$BH$4:$BH$184)</f>
        <v>0</v>
      </c>
      <c r="BI195" s="22">
        <f>SUMIF($E$4:$E$184,"510",$BI$4:$BI$184)</f>
        <v>0</v>
      </c>
      <c r="BJ195" s="22">
        <f>SUMIF($E$4:$E$186,"510",$BJ$4:$BJ$186)</f>
        <v>0</v>
      </c>
      <c r="BK195" s="22">
        <f>SUMIF($E$4:$E$186,"510",$BK$4:$BK$186)</f>
        <v>0</v>
      </c>
      <c r="BL195" s="22">
        <f>SUMIF($E$4:$E$186,"510",$BL$4:$BL$186)</f>
        <v>299132049</v>
      </c>
      <c r="BM195" s="22">
        <f>SUMIF($E$4:$E$184,"510",$BM$4:$BM$184)</f>
        <v>0</v>
      </c>
      <c r="BN195" s="22">
        <f>SUMIF($E$4:$E$184,"510",$BN$4:$BN$184)</f>
        <v>0</v>
      </c>
      <c r="BO195" s="22">
        <f>SUMIF($E$4:$E$184,"510",$BO$4:$BO$184)</f>
        <v>0</v>
      </c>
      <c r="BP195" s="22">
        <f>SUMIF($E$4:$E$184,"510",$BP$4:$BP$184)</f>
        <v>0</v>
      </c>
      <c r="BQ195" s="22">
        <f>SUMIF($E$4:$E$184,"510",$BQ$4:$BQ$184)</f>
        <v>0</v>
      </c>
      <c r="BR195" s="22">
        <f>SUMIF($E$4:$E$184,"510",$BR$4:$BR$184)</f>
        <v>0</v>
      </c>
      <c r="BS195" s="22">
        <f>SUMIF($E$4:$E$184,"510",$BS$4:$BS$184)</f>
        <v>0</v>
      </c>
      <c r="BT195" s="22">
        <f>SUMIF($E$4:$E$184,"510",$BT$4:$BT$184)</f>
        <v>143785137</v>
      </c>
      <c r="BU195" s="22">
        <f>SUMIF($E$4:$E$184,"510",$BU$4:$BU$184)</f>
        <v>40350094</v>
      </c>
      <c r="BV195" s="22">
        <f>SUMIF($E$4:$E$184,"510",$BV$4:$BV$184)</f>
        <v>12296280</v>
      </c>
      <c r="BW195" s="22">
        <f>SUMIF($E$4:$E$184,"520",$BW$4:$BW$184)</f>
        <v>0</v>
      </c>
      <c r="BX195" s="22">
        <f>SUMIF($E$4:$E$184,"510",$BX$4:$BX$184)</f>
        <v>0</v>
      </c>
      <c r="BY195" s="22">
        <f>SUMIF($E$4:$E$184,"510",$BY$4:$BY$184)</f>
        <v>0</v>
      </c>
      <c r="BZ195" s="29">
        <f>SUMIF($E$4:$E$186,"510",$BZ$4:$BZ$186)</f>
        <v>23903893</v>
      </c>
      <c r="CA195" s="28">
        <f t="shared" si="337"/>
        <v>0.50294409519815475</v>
      </c>
      <c r="CB195" s="24">
        <f t="shared" si="338"/>
        <v>719562117</v>
      </c>
      <c r="CC195" s="27">
        <f>SUMIF($E$4:$E$186,"510",$CC$4:$CC$186)</f>
        <v>0</v>
      </c>
      <c r="CD195" s="27">
        <f>SUMIF($E$4:$E$184,"510",$CD$4:$CD$184)</f>
        <v>0</v>
      </c>
      <c r="CE195" s="27">
        <f>SUMIF($E$4:$E$184,"510",$CE$4:$CE$184)</f>
        <v>0</v>
      </c>
      <c r="CF195" s="27">
        <f>SUMIF($E$4:$E$184,"510",$CF$4:$CF$184)</f>
        <v>0</v>
      </c>
      <c r="CG195" s="27">
        <f>SUMIF($E$4:$E$186,"510",$CG$4:$CG$186)</f>
        <v>0</v>
      </c>
      <c r="CH195" s="27">
        <f>SUMIF($E$4:$E$184,"510",$CH$4:$CH$184)</f>
        <v>347263417</v>
      </c>
      <c r="CI195" s="27">
        <f>SUMIF($E$4:$E$184,"510",$CI$4:$CI$184)</f>
        <v>0</v>
      </c>
      <c r="CJ195" s="27">
        <f>SUMIF($E$4:$E$186,"510",$CJ$4:$CJ$186)</f>
        <v>0</v>
      </c>
      <c r="CK195" s="27">
        <f>SUMIF($E$4:$E$184,"510",$CK$4:$CK$184)</f>
        <v>0</v>
      </c>
      <c r="CL195" s="27">
        <f>SUMIF($E$4:$E$184,"510",$CL$4:$CL$184)</f>
        <v>0</v>
      </c>
      <c r="CM195" s="27">
        <f>SUMIF($E$4:$E$184,"510",$CM$4:$CM$184)</f>
        <v>0</v>
      </c>
      <c r="CN195" s="27">
        <f>SUMIF($E$4:$E$184,"510",$CN$4:$CN$184)</f>
        <v>0</v>
      </c>
      <c r="CO195" s="27">
        <f>SUMIF($E$4:$E$184,"510",$CO$4:$CO$184)</f>
        <v>0</v>
      </c>
      <c r="CP195" s="27">
        <f>SUMIF($E$4:$E$184,"510",$CP$4:$CP$184)</f>
        <v>72513196</v>
      </c>
      <c r="CQ195" s="27">
        <f>SUMIF($E$4:$E$184,"510",$CQ$4:$CQ$184)</f>
        <v>89853407</v>
      </c>
      <c r="CR195" s="27">
        <f>SUMIF($E$4:$E$184,"510",$CR$4:$CR$184)</f>
        <v>168347392</v>
      </c>
      <c r="CS195" s="27">
        <f>SUMIF($E$4:$E$184,"510",$CS$4:$CS$184)</f>
        <v>0</v>
      </c>
      <c r="CT195" s="27">
        <f>SUMIF($E$4:$E$184,"510",$CT$4:$CT$184)</f>
        <v>0</v>
      </c>
      <c r="CU195" s="27">
        <f>SUMIF($E$4:$E$184,"510",$CU$4:$CU$184)</f>
        <v>0</v>
      </c>
      <c r="CV195" s="26">
        <f>SUMIF($E$4:$E$184,"510",$CV$4:$CV$184)</f>
        <v>41584705</v>
      </c>
      <c r="CW195" s="25">
        <f t="shared" si="339"/>
        <v>0.49705590480184525</v>
      </c>
      <c r="CX195" s="24">
        <f t="shared" si="340"/>
        <v>711137883</v>
      </c>
      <c r="CY195" s="23">
        <f>SUMIF($E$4:$E$186,"510",$CY$4:$CY$186)</f>
        <v>0</v>
      </c>
      <c r="CZ195" s="22">
        <f>SUMIF($E$4:$E$184,"510",$CZ$4:$CZ$184)</f>
        <v>0</v>
      </c>
      <c r="DA195" s="22">
        <f>SUMIF($E$4:$E$186,"510",$DA$4:$DA$186)</f>
        <v>0</v>
      </c>
      <c r="DB195" s="22">
        <f>SUMIF($E$4:$E$186,"510",$DB$4:$DB$186)</f>
        <v>0</v>
      </c>
      <c r="DC195" s="22">
        <f>SUMIF($E$4:$E$186,"510",$DC$4:$DC$186)</f>
        <v>0</v>
      </c>
      <c r="DD195" s="22">
        <f>SUMIF($E$4:$E$186,"510",$DD$4:$DD$186)</f>
        <v>322736583</v>
      </c>
      <c r="DE195" s="22">
        <f>SUMIF($E$4:$E$186,"510",$DE$4:$DE$186)</f>
        <v>0</v>
      </c>
      <c r="DF195" s="22">
        <f>SUMIF($E$4:$E$186,"510",$DF$4:$DF$186)</f>
        <v>0</v>
      </c>
      <c r="DG195" s="21">
        <f>SUMIF($E$4:$E$184,"510",$DG$4:$DG$184)</f>
        <v>0</v>
      </c>
      <c r="DH195" s="21">
        <f>SUMIF($E$4:$E$184,"510",$DH$4:$DH$184)</f>
        <v>0</v>
      </c>
      <c r="DI195" s="21">
        <f>SUMIF($E$4:$E$186,"510",$DI$4:$DI$186)</f>
        <v>0</v>
      </c>
      <c r="DJ195" s="21">
        <f>SUMIF($E$4:$E$184,"510",$DJ$4:$DJ$184)</f>
        <v>0</v>
      </c>
      <c r="DK195" s="21">
        <f>SUMIF($E$4:$E$184,"510",$DK$4:$DK$184)</f>
        <v>0</v>
      </c>
      <c r="DL195" s="21">
        <f>SUMIF($E$4:$E$186,"510",$DL$4:$DL$186)</f>
        <v>197486804</v>
      </c>
      <c r="DM195" s="21">
        <f>SUMIF($E$4:$E$186,"510",$DM$4:$DM$186)</f>
        <v>60146593</v>
      </c>
      <c r="DN195" s="21">
        <f>SUMIF($E$4:$E$184,"510",$DN$4:$DN$184)</f>
        <v>71152608</v>
      </c>
      <c r="DO195" s="21">
        <f>SUMIF($E$4:$E$184,"510",$DO$4:$DO$184)</f>
        <v>0</v>
      </c>
      <c r="DP195" s="21">
        <f>SUMIF($E$4:$E$184,"510",$DP$4:$DP$184)</f>
        <v>0</v>
      </c>
      <c r="DQ195" s="21">
        <f>SUMIF($E$4:$E$184,"510",$DQ$4:$DQ$184)</f>
        <v>0</v>
      </c>
      <c r="DR195" s="21">
        <f>SUMIF($E$4:$E$186,"510",$DR$4:$DR$186)</f>
        <v>59615295</v>
      </c>
    </row>
    <row r="196" spans="3:122" x14ac:dyDescent="0.25">
      <c r="C196" s="36"/>
      <c r="D196" s="35" t="s">
        <v>4</v>
      </c>
      <c r="E196" s="44">
        <v>520</v>
      </c>
      <c r="F196" s="32"/>
      <c r="G196" s="19">
        <f>SUMIF($E$4:$E$186,"520",$G$4:$G$186)</f>
        <v>2832000000</v>
      </c>
      <c r="H196" s="19">
        <f>SUMIF($E$4:$E$186,"520",$H$4:$H$186)</f>
        <v>1638726933</v>
      </c>
      <c r="I196" s="19">
        <f>SUMIF($E$4:$E$186,"520",$I$4:$I$186)</f>
        <v>1319780820</v>
      </c>
      <c r="J196" s="32"/>
      <c r="K196" s="32"/>
      <c r="L196" s="32"/>
      <c r="M196" s="27">
        <f>SUMIF($E$4:$E$186,"520",$M$4:$M$186)</f>
        <v>2958507753</v>
      </c>
      <c r="N196" s="27">
        <f>SUMIF($E$4:$E$186,"520",$N$4:$N$186)</f>
        <v>0</v>
      </c>
      <c r="O196" s="33">
        <f>SUMIF($E$4:$E$184,"520",$O$4:$O$184)</f>
        <v>0</v>
      </c>
      <c r="P196" s="33">
        <f>SUMIF($E$4:$E$187,"520",$P$4:$P$187)</f>
        <v>0</v>
      </c>
      <c r="Q196" s="33">
        <f>SUMIF($E$4:$E$186,"520",$Q$4:$Q$186)</f>
        <v>50000000</v>
      </c>
      <c r="R196" s="27">
        <f>SUMIF($E$4:$E$186,"520",$R$4:$R$186)</f>
        <v>72884540</v>
      </c>
      <c r="S196" s="32">
        <f>SUMIF($E$4:$E$184,"520",$S$4:$S$184)</f>
        <v>660000000</v>
      </c>
      <c r="T196" s="32">
        <f>SUMIF($E$4:$E$184,"520",$T$4:$T$184)</f>
        <v>923014856</v>
      </c>
      <c r="U196" s="32">
        <f>SUMIF($E$4:$E$184,"520",$U$4:$U$184)</f>
        <v>0</v>
      </c>
      <c r="V196" s="32">
        <f>SUMIF($E$4:$E$184,"520",$V$4:$V$184)</f>
        <v>0</v>
      </c>
      <c r="W196" s="32">
        <f>SUMIF($E$4:$E$184,"520",$W$4:$W$184)</f>
        <v>0</v>
      </c>
      <c r="X196" s="32">
        <f>SUMIF($E$4:$E$184,"520",$X$4:$X$184)</f>
        <v>0</v>
      </c>
      <c r="Y196" s="32">
        <f>SUMIF($E$4:$E$184,"520",$Y$4:$Y$184)</f>
        <v>0</v>
      </c>
      <c r="Z196" s="32">
        <f>SUMIF($E$4:$E$184,"520",$Z$4:$Z$184)</f>
        <v>610864435</v>
      </c>
      <c r="AA196" s="32">
        <f>SUMIF($E$4:$E$184,"520",$AA$4:$AA$184)</f>
        <v>0</v>
      </c>
      <c r="AB196" s="32">
        <f>SUMIF($E$4:$E$184,"520",$AB$4:$AB$184)</f>
        <v>50000000</v>
      </c>
      <c r="AC196" s="32">
        <f>SUMIF($E$4:$E$184,"520",$AC$4:$AC$184)</f>
        <v>0</v>
      </c>
      <c r="AD196" s="32">
        <f>SUMIF($E$4:$E$155,"520",$AD$4:$AD$155)</f>
        <v>0</v>
      </c>
      <c r="AE196" s="32">
        <f>SUMIF($E$4:$E$184,"520",$AE$4:$AE$184)</f>
        <v>0</v>
      </c>
      <c r="AF196" s="32">
        <f>SUMIF($E$4:$E$184,"520",$AF$4:$AF$184)</f>
        <v>0</v>
      </c>
      <c r="AG196" s="32">
        <f>SUMIF($E$4:$E$186,"520",$AG$4:$AG$186)</f>
        <v>591743922</v>
      </c>
      <c r="AI196" s="31">
        <f t="shared" si="333"/>
        <v>0.81371961271990623</v>
      </c>
      <c r="AJ196" s="30">
        <f t="shared" si="334"/>
        <v>2407395783</v>
      </c>
      <c r="AK196" s="27">
        <f>SUMIF($E$4:$E$184,"520",$AK$4:$AK$184)</f>
        <v>0</v>
      </c>
      <c r="AL196" s="27">
        <f>SUMIF($E$4:$E$186,"520",$AL$4:$AL$186)</f>
        <v>0</v>
      </c>
      <c r="AM196" s="27">
        <f>SUMIF($E$4:$E$186,"520",$AM$4:$AM$186)</f>
        <v>0</v>
      </c>
      <c r="AN196" s="27">
        <f>SUMIF($E$4:$E$186,"520",$AN$4:$AN$186)</f>
        <v>50000000</v>
      </c>
      <c r="AO196" s="27">
        <f>SUMIF($E$4:$E$184,"520",$AO$4:$AO$184)</f>
        <v>0</v>
      </c>
      <c r="AP196" s="27">
        <f>SUMIF($E$4:$E$184,"520",$AP$4:$AP$184)</f>
        <v>649180877</v>
      </c>
      <c r="AQ196" s="27">
        <f>SUMIF($E$4:$E$186,"520",$AQ$4:$AQ$186)</f>
        <v>898014856</v>
      </c>
      <c r="AR196" s="27">
        <f>SUMIF($E$4:$E$186,"520",$AR$4:$AR$186)</f>
        <v>0</v>
      </c>
      <c r="AS196" s="27">
        <f>SUMIF($E$4:$E$184,"520",$AS$4:$AS$184)</f>
        <v>0</v>
      </c>
      <c r="AT196" s="27">
        <f>SUMIF($E$4:$E$184,"520",$AT$4:$AT$184)</f>
        <v>0</v>
      </c>
      <c r="AU196" s="27">
        <f>SUMIF($E$4:$E$155,"520",$AU$4:$AU$155)</f>
        <v>0</v>
      </c>
      <c r="AV196" s="27">
        <f>SUMIF($E$4:$E$184,"520",$AV$4:$AV$184)</f>
        <v>0</v>
      </c>
      <c r="AW196" s="27">
        <f>SUMIF($E$4:$E$184,"520",$AW$4:$AW$184)</f>
        <v>221128226</v>
      </c>
      <c r="AX196" s="27">
        <f>SUMIF($E$4:$E$184,"520",$AX$4:$AX$184)</f>
        <v>0</v>
      </c>
      <c r="AY196" s="27">
        <f>SUMIF($E$4:$E$186,"520",$AY$4:$AY$186)</f>
        <v>50000000</v>
      </c>
      <c r="AZ196" s="27">
        <f>SUMIF($E$4:$E$184,"520",$AZ$4:$AZ$184)</f>
        <v>0</v>
      </c>
      <c r="BA196" s="27">
        <f>SUMIF($E$4:$E$184,"520",$BA$4:$BA$184)</f>
        <v>0</v>
      </c>
      <c r="BB196" s="27">
        <f>SUMIF($E$4:$E$184,"520",$BB$4:$BB$184)</f>
        <v>0</v>
      </c>
      <c r="BC196" s="27">
        <f>SUMIF($E$4:$E$184,"520",$BC$4:$BC$184)</f>
        <v>0</v>
      </c>
      <c r="BD196" s="27">
        <f>SUMIF($E$4:$E$186,"520",$BD$4:$BD$186)</f>
        <v>539071824</v>
      </c>
      <c r="BE196" s="16">
        <f t="shared" si="335"/>
        <v>0.18628038728009377</v>
      </c>
      <c r="BF196" s="24">
        <f t="shared" si="336"/>
        <v>551111970</v>
      </c>
      <c r="BG196" s="22">
        <f>SUMIF($E$4:$E$184,"520",$BG$4:$BG$184)</f>
        <v>0</v>
      </c>
      <c r="BH196" s="22">
        <f>SUMIF($E$4:$E$184,"520",$BH$4:$BH$184)</f>
        <v>0</v>
      </c>
      <c r="BI196" s="22">
        <f>SUMIF($E$4:$E$184,"520",$BI$4:$BI$184)</f>
        <v>0</v>
      </c>
      <c r="BJ196" s="22">
        <f>SUMIF($E$4:$E$186,"520",$BJ$4:$BJ$186)</f>
        <v>0</v>
      </c>
      <c r="BK196" s="22">
        <f>SUMIF($E$4:$E$186,"520",$BK$4:$BK$186)</f>
        <v>72884540</v>
      </c>
      <c r="BL196" s="22">
        <f>SUMIF($E$4:$E$186,"520",$BL$4:$BL$186)</f>
        <v>10819123</v>
      </c>
      <c r="BM196" s="22">
        <f>SUMIF($E$4:$E$184,"520",$BM$4:$BM$184)</f>
        <v>25000000</v>
      </c>
      <c r="BN196" s="22">
        <f>SUMIF($E$4:$E$184,"520",$BN$4:$BN$184)</f>
        <v>0</v>
      </c>
      <c r="BO196" s="22">
        <f>SUMIF($E$4:$E$184,"520",$BO$4:$BO$184)</f>
        <v>0</v>
      </c>
      <c r="BP196" s="22">
        <f>SUMIF($E$4:$E$184,"520",$BP$4:$BP$184)</f>
        <v>0</v>
      </c>
      <c r="BQ196" s="22">
        <f>SUMIF($E$4:$E$184,"520",$BQ$4:$BQ$184)</f>
        <v>0</v>
      </c>
      <c r="BR196" s="22">
        <f>SUMIF($E$4:$E$184,"520",$BR$4:$BR$184)</f>
        <v>0</v>
      </c>
      <c r="BS196" s="22">
        <f>SUMIF($E$4:$E$184,"520",$BS$4:$BS$184)</f>
        <v>389736209</v>
      </c>
      <c r="BT196" s="22">
        <f>SUMIF($E$4:$E$184,"520",$BT$4:$BT$184)</f>
        <v>0</v>
      </c>
      <c r="BU196" s="22">
        <f>SUMIF($E$4:$E$184,"520",$BU$4:$BU$184)</f>
        <v>0</v>
      </c>
      <c r="BV196" s="22">
        <f>SUMIF($E$4:$E$184,"520",$BV$4:$BV$184)</f>
        <v>0</v>
      </c>
      <c r="BW196" s="22">
        <f>SUMIF($E$4:$E$184,"111",$BW$4:$BW$184)</f>
        <v>0</v>
      </c>
      <c r="BX196" s="22">
        <f>SUMIF($E$4:$E$184,"520",$BX$4:$BX$184)</f>
        <v>0</v>
      </c>
      <c r="BY196" s="22">
        <f>SUMIF($E$4:$E$184,"520",$BY$4:$BY$184)</f>
        <v>0</v>
      </c>
      <c r="BZ196" s="29">
        <f>SUMIF($E$4:$E$186,"520",$BZ$4:$BZ$186)</f>
        <v>52672098</v>
      </c>
      <c r="CA196" s="28">
        <f t="shared" si="337"/>
        <v>0.55390320722948605</v>
      </c>
      <c r="CB196" s="24">
        <f t="shared" si="338"/>
        <v>1638726933</v>
      </c>
      <c r="CC196" s="27">
        <f>SUMIF($E$4:$E$186,"520",$CC$4:$CC$186)</f>
        <v>0</v>
      </c>
      <c r="CD196" s="27">
        <f>SUMIF($E$4:$E$184,"520",$CD$4:$CD$184)</f>
        <v>0</v>
      </c>
      <c r="CE196" s="27">
        <f>SUMIF($E$4:$E$184,"520",$CE$4:$CE$184)</f>
        <v>0</v>
      </c>
      <c r="CF196" s="27">
        <f>SUMIF($E$4:$E$184,"520",$CF$4:$CF$184)</f>
        <v>40000000</v>
      </c>
      <c r="CG196" s="27">
        <f>SUMIF($E$4:$E$186,"520",$CG$4:$CG$186)</f>
        <v>0</v>
      </c>
      <c r="CH196" s="27">
        <f>SUMIF($E$4:$E$184,"520",$CH$4:$CH$184)</f>
        <v>478813038</v>
      </c>
      <c r="CI196" s="27">
        <f>SUMIF($E$4:$E$184,"520",$CI$4:$CI$184)</f>
        <v>545087024</v>
      </c>
      <c r="CJ196" s="27">
        <f>SUMIF($E$4:$E$186,"520",$CJ$4:$CJ$186)</f>
        <v>0</v>
      </c>
      <c r="CK196" s="27">
        <f>SUMIF($E$4:$E$184,"520",$CK$4:$CK$184)</f>
        <v>0</v>
      </c>
      <c r="CL196" s="27">
        <f>SUMIF($E$4:$E$184,"520",$CL$4:$CL$184)</f>
        <v>0</v>
      </c>
      <c r="CM196" s="27">
        <f>SUMIF($E$4:$E$184,"520",$CM$4:$CM$184)</f>
        <v>0</v>
      </c>
      <c r="CN196" s="27">
        <f>SUMIF($E$4:$E$184,"520",$CN$4:$CN$184)</f>
        <v>0</v>
      </c>
      <c r="CO196" s="27">
        <f>SUMIF($E$4:$E$184,"520",$CO$4:$CO$184)</f>
        <v>104600638</v>
      </c>
      <c r="CP196" s="27">
        <f>SUMIF($E$4:$E$184,"520",$CP$4:$CP$184)</f>
        <v>0</v>
      </c>
      <c r="CQ196" s="27">
        <f>SUMIF($E$4:$E$184,"520",$CQ$4:$CQ$184)</f>
        <v>23814210</v>
      </c>
      <c r="CR196" s="27">
        <f>SUMIF($E$4:$E$184,"520",$CR$4:$CR$184)</f>
        <v>0</v>
      </c>
      <c r="CS196" s="27">
        <f>SUMIF($E$4:$E$184,"520",$CS$4:$CS$184)</f>
        <v>0</v>
      </c>
      <c r="CT196" s="27">
        <f>SUMIF($E$4:$E$184,"520",$CT$4:$CT$184)</f>
        <v>0</v>
      </c>
      <c r="CU196" s="27">
        <f>SUMIF($E$4:$E$184,"520",$CU$4:$CU$184)</f>
        <v>0</v>
      </c>
      <c r="CV196" s="26">
        <f>SUMIF($E$4:$E$184,"520",$CV$4:$CV$184)</f>
        <v>446412023</v>
      </c>
      <c r="CW196" s="25">
        <f t="shared" si="339"/>
        <v>0.44609679277051395</v>
      </c>
      <c r="CX196" s="24">
        <f t="shared" si="340"/>
        <v>1319780820</v>
      </c>
      <c r="CY196" s="23">
        <f>SUMIF($E$4:$E$186,"520",$CY$4:$CY$186)</f>
        <v>0</v>
      </c>
      <c r="CZ196" s="22">
        <f>SUMIF($E$4:$E$184,"520",$CZ$4:$CZ$184)</f>
        <v>0</v>
      </c>
      <c r="DA196" s="22">
        <f>SUMIF($E$4:$E$186,"520",$DA$4:$DA$186)</f>
        <v>0</v>
      </c>
      <c r="DB196" s="22">
        <f>SUMIF($E$4:$E$186,"520",$DB$4:$DB$186)</f>
        <v>10000000</v>
      </c>
      <c r="DC196" s="22">
        <f>SUMIF($E$4:$E$186,"520",$DC$4:$DC$186)</f>
        <v>72884540</v>
      </c>
      <c r="DD196" s="22">
        <f>SUMIF($E$4:$E$186,"520",$DD$4:$DD$186)</f>
        <v>181186962</v>
      </c>
      <c r="DE196" s="22">
        <f>SUMIF($E$4:$E$186,"520",$DE$4:$DE$186)</f>
        <v>377927832</v>
      </c>
      <c r="DF196" s="22">
        <f>SUMIF($E$4:$E$186,"520",$DF$4:$DF$186)</f>
        <v>0</v>
      </c>
      <c r="DG196" s="21">
        <f>SUMIF($E$4:$E$184,"520",$DG$4:$DG$184)</f>
        <v>0</v>
      </c>
      <c r="DH196" s="21">
        <f>SUMIF($E$4:$E$184,"520",$DH$4:$DH$184)</f>
        <v>0</v>
      </c>
      <c r="DI196" s="21">
        <f>SUMIF($E$4:$E$186,"520",$DI$4:$DI$186)</f>
        <v>0</v>
      </c>
      <c r="DJ196" s="21">
        <f>SUMIF($E$4:$E$184,"520",$DJ$4:$DJ$184)</f>
        <v>0</v>
      </c>
      <c r="DK196" s="21">
        <f>SUMIF($E$4:$E$184,"520",$DK$4:$DK$184)</f>
        <v>506263797</v>
      </c>
      <c r="DL196" s="21">
        <f>SUMIF($E$4:$E$186,"520",$DL$4:$DL$186)</f>
        <v>0</v>
      </c>
      <c r="DM196" s="21">
        <f>SUMIF($E$4:$E$184,"520",$DM$4:$DM$184)</f>
        <v>26185790</v>
      </c>
      <c r="DN196" s="21">
        <f>SUMIF($E$4:$E$184,"520",$DN$4:$DN$184)</f>
        <v>0</v>
      </c>
      <c r="DO196" s="21">
        <f>SUMIF($E$4:$E$184,"520",$DO$4:$DO$184)</f>
        <v>0</v>
      </c>
      <c r="DP196" s="21">
        <f>SUMIF($E$4:$E$184,"520",$DP$4:$DP$184)</f>
        <v>0</v>
      </c>
      <c r="DQ196" s="21">
        <f>SUMIF($E$4:$E$184,"520",$DQ$4:$DQ$184)</f>
        <v>0</v>
      </c>
      <c r="DR196" s="21">
        <f>SUMIF($E$4:$E$186,"520",$DR$4:$DR$186)</f>
        <v>145331899</v>
      </c>
    </row>
    <row r="197" spans="3:122" x14ac:dyDescent="0.25">
      <c r="C197" s="36"/>
      <c r="D197" s="35" t="s">
        <v>3</v>
      </c>
      <c r="E197" s="43"/>
      <c r="F197" s="42"/>
      <c r="G197" s="19">
        <f>SUM(G191:G196)</f>
        <v>30001000000</v>
      </c>
      <c r="H197" s="19">
        <f>SUM(H191:H196)</f>
        <v>9726182348</v>
      </c>
      <c r="I197" s="19">
        <f>SUM(I191:I196)</f>
        <v>12777924240</v>
      </c>
      <c r="J197" s="42"/>
      <c r="K197" s="42"/>
      <c r="L197" s="42"/>
      <c r="M197" s="39">
        <f t="shared" ref="M197:AH197" si="341">SUM(M191:M196)</f>
        <v>22504106588</v>
      </c>
      <c r="N197" s="39">
        <f t="shared" si="341"/>
        <v>0</v>
      </c>
      <c r="O197" s="37">
        <f t="shared" si="341"/>
        <v>134533656</v>
      </c>
      <c r="P197" s="37">
        <f t="shared" si="341"/>
        <v>396726534</v>
      </c>
      <c r="Q197" s="37">
        <f t="shared" si="341"/>
        <v>9862143612</v>
      </c>
      <c r="R197" s="37">
        <f t="shared" si="341"/>
        <v>92895874</v>
      </c>
      <c r="S197" s="37">
        <f t="shared" si="341"/>
        <v>2509180877</v>
      </c>
      <c r="T197" s="37">
        <f t="shared" si="341"/>
        <v>1300000000</v>
      </c>
      <c r="U197" s="37">
        <f t="shared" si="341"/>
        <v>102810569</v>
      </c>
      <c r="V197" s="37">
        <f t="shared" si="341"/>
        <v>219471348</v>
      </c>
      <c r="W197" s="37">
        <f t="shared" si="341"/>
        <v>1940856</v>
      </c>
      <c r="X197" s="37">
        <f t="shared" si="341"/>
        <v>3438802</v>
      </c>
      <c r="Y197" s="37">
        <f t="shared" si="341"/>
        <v>318664514</v>
      </c>
      <c r="Z197" s="37">
        <f t="shared" si="341"/>
        <v>4114878115</v>
      </c>
      <c r="AA197" s="37">
        <f t="shared" si="341"/>
        <v>348609139</v>
      </c>
      <c r="AB197" s="37">
        <f t="shared" si="341"/>
        <v>727437634</v>
      </c>
      <c r="AC197" s="37">
        <f t="shared" si="341"/>
        <v>879054052</v>
      </c>
      <c r="AD197" s="37">
        <f t="shared" si="341"/>
        <v>0</v>
      </c>
      <c r="AE197" s="37">
        <f t="shared" si="341"/>
        <v>80844085</v>
      </c>
      <c r="AF197" s="37">
        <f t="shared" si="341"/>
        <v>92524043</v>
      </c>
      <c r="AG197" s="37">
        <f t="shared" si="341"/>
        <v>1318952878</v>
      </c>
      <c r="AH197" s="37">
        <f t="shared" si="341"/>
        <v>0</v>
      </c>
      <c r="AI197" s="31">
        <f t="shared" si="333"/>
        <v>0.62631935375367587</v>
      </c>
      <c r="AJ197" s="39">
        <f t="shared" ref="AJ197:BD197" si="342">SUM(AJ191:AJ196)</f>
        <v>14094757495</v>
      </c>
      <c r="AK197" s="41">
        <f t="shared" si="342"/>
        <v>0</v>
      </c>
      <c r="AL197" s="41">
        <f t="shared" si="342"/>
        <v>133268976</v>
      </c>
      <c r="AM197" s="41">
        <f t="shared" si="342"/>
        <v>396726534</v>
      </c>
      <c r="AN197" s="41">
        <f t="shared" si="342"/>
        <v>4910165187</v>
      </c>
      <c r="AO197" s="41">
        <f t="shared" si="342"/>
        <v>17503290</v>
      </c>
      <c r="AP197" s="41">
        <f t="shared" si="342"/>
        <v>1959007333</v>
      </c>
      <c r="AQ197" s="41">
        <f t="shared" si="342"/>
        <v>1132695531</v>
      </c>
      <c r="AR197" s="41">
        <f t="shared" si="342"/>
        <v>102810569</v>
      </c>
      <c r="AS197" s="41">
        <f t="shared" si="342"/>
        <v>219471348</v>
      </c>
      <c r="AT197" s="41">
        <f t="shared" si="342"/>
        <v>0</v>
      </c>
      <c r="AU197" s="41">
        <f t="shared" si="342"/>
        <v>0</v>
      </c>
      <c r="AV197" s="41">
        <f t="shared" si="342"/>
        <v>40655038</v>
      </c>
      <c r="AW197" s="41">
        <f t="shared" si="342"/>
        <v>2606923243</v>
      </c>
      <c r="AX197" s="41">
        <f t="shared" si="342"/>
        <v>194824002</v>
      </c>
      <c r="AY197" s="41">
        <f t="shared" si="342"/>
        <v>395414960</v>
      </c>
      <c r="AZ197" s="41">
        <f t="shared" si="342"/>
        <v>788052183</v>
      </c>
      <c r="BA197" s="41">
        <f t="shared" si="342"/>
        <v>0</v>
      </c>
      <c r="BB197" s="41">
        <f t="shared" si="342"/>
        <v>80844085</v>
      </c>
      <c r="BC197" s="41">
        <f t="shared" si="342"/>
        <v>92524043</v>
      </c>
      <c r="BD197" s="41">
        <f t="shared" si="342"/>
        <v>1023871173</v>
      </c>
      <c r="BE197" s="16">
        <f t="shared" si="335"/>
        <v>0.37368064624632413</v>
      </c>
      <c r="BF197" s="41">
        <f t="shared" ref="BF197:BZ197" si="343">SUM(BF191:BF196)</f>
        <v>8409349093</v>
      </c>
      <c r="BG197" s="41">
        <f t="shared" si="343"/>
        <v>0</v>
      </c>
      <c r="BH197" s="41">
        <f t="shared" si="343"/>
        <v>1264680</v>
      </c>
      <c r="BI197" s="41">
        <f t="shared" si="343"/>
        <v>0</v>
      </c>
      <c r="BJ197" s="24">
        <f t="shared" si="343"/>
        <v>4951978425</v>
      </c>
      <c r="BK197" s="24">
        <f t="shared" si="343"/>
        <v>75392584</v>
      </c>
      <c r="BL197" s="24">
        <f t="shared" si="343"/>
        <v>550173544</v>
      </c>
      <c r="BM197" s="24">
        <f t="shared" si="343"/>
        <v>167304469</v>
      </c>
      <c r="BN197" s="24">
        <f t="shared" si="343"/>
        <v>0</v>
      </c>
      <c r="BO197" s="24">
        <f t="shared" si="343"/>
        <v>0</v>
      </c>
      <c r="BP197" s="24">
        <f t="shared" si="343"/>
        <v>1940856</v>
      </c>
      <c r="BQ197" s="24">
        <f t="shared" si="343"/>
        <v>3438802</v>
      </c>
      <c r="BR197" s="24">
        <f t="shared" si="343"/>
        <v>278009476</v>
      </c>
      <c r="BS197" s="24">
        <f t="shared" si="343"/>
        <v>1507954872</v>
      </c>
      <c r="BT197" s="24">
        <f t="shared" si="343"/>
        <v>153785137</v>
      </c>
      <c r="BU197" s="24">
        <f t="shared" si="343"/>
        <v>332022674</v>
      </c>
      <c r="BV197" s="24">
        <f t="shared" si="343"/>
        <v>91001869</v>
      </c>
      <c r="BW197" s="24">
        <f t="shared" si="343"/>
        <v>0</v>
      </c>
      <c r="BX197" s="24">
        <f t="shared" si="343"/>
        <v>0</v>
      </c>
      <c r="BY197" s="24">
        <f t="shared" si="343"/>
        <v>0</v>
      </c>
      <c r="BZ197" s="24">
        <f t="shared" si="343"/>
        <v>295081705</v>
      </c>
      <c r="CA197" s="28">
        <f t="shared" si="337"/>
        <v>0.43219588877997717</v>
      </c>
      <c r="CB197" s="24">
        <f t="shared" ref="CB197:CV197" si="344">SUM(CB191:CB196)</f>
        <v>9726182348</v>
      </c>
      <c r="CC197" s="24">
        <f t="shared" si="344"/>
        <v>0</v>
      </c>
      <c r="CD197" s="40">
        <f t="shared" si="344"/>
        <v>133268976</v>
      </c>
      <c r="CE197" s="40">
        <f t="shared" si="344"/>
        <v>396726534</v>
      </c>
      <c r="CF197" s="40">
        <f t="shared" si="344"/>
        <v>3932442731</v>
      </c>
      <c r="CG197" s="40">
        <f t="shared" si="344"/>
        <v>12550540</v>
      </c>
      <c r="CH197" s="39">
        <f t="shared" si="344"/>
        <v>1590860535</v>
      </c>
      <c r="CI197" s="39">
        <f t="shared" si="344"/>
        <v>753232380</v>
      </c>
      <c r="CJ197" s="39">
        <f t="shared" si="344"/>
        <v>102810569</v>
      </c>
      <c r="CK197" s="39">
        <f t="shared" si="344"/>
        <v>127534316</v>
      </c>
      <c r="CL197" s="39">
        <f t="shared" si="344"/>
        <v>0</v>
      </c>
      <c r="CM197" s="39">
        <f t="shared" si="344"/>
        <v>0</v>
      </c>
      <c r="CN197" s="39">
        <f t="shared" si="344"/>
        <v>40655038</v>
      </c>
      <c r="CO197" s="39">
        <f t="shared" si="344"/>
        <v>1208261737</v>
      </c>
      <c r="CP197" s="39">
        <f t="shared" si="344"/>
        <v>121219278</v>
      </c>
      <c r="CQ197" s="39">
        <f t="shared" si="344"/>
        <v>250447070</v>
      </c>
      <c r="CR197" s="39">
        <f t="shared" si="344"/>
        <v>392169475</v>
      </c>
      <c r="CS197" s="39">
        <f t="shared" si="344"/>
        <v>0</v>
      </c>
      <c r="CT197" s="39">
        <f t="shared" si="344"/>
        <v>25815097</v>
      </c>
      <c r="CU197" s="39">
        <f t="shared" si="344"/>
        <v>0</v>
      </c>
      <c r="CV197" s="37">
        <f t="shared" si="344"/>
        <v>638188072</v>
      </c>
      <c r="CW197" s="25">
        <f t="shared" si="339"/>
        <v>0.56780411122002283</v>
      </c>
      <c r="CX197" s="39">
        <f t="shared" ref="CX197:DR197" ca="1" si="345">SUM(CX191:CX196)</f>
        <v>12777924240</v>
      </c>
      <c r="CY197" s="38">
        <f t="shared" si="345"/>
        <v>0</v>
      </c>
      <c r="CZ197" s="37">
        <f t="shared" ca="1" si="345"/>
        <v>1264680</v>
      </c>
      <c r="DA197" s="37">
        <f t="shared" si="345"/>
        <v>0</v>
      </c>
      <c r="DB197" s="37">
        <f t="shared" si="345"/>
        <v>5929700881</v>
      </c>
      <c r="DC197" s="37">
        <f t="shared" si="345"/>
        <v>80345334</v>
      </c>
      <c r="DD197" s="24">
        <f t="shared" si="345"/>
        <v>918320342</v>
      </c>
      <c r="DE197" s="24">
        <f t="shared" si="345"/>
        <v>546767620</v>
      </c>
      <c r="DF197" s="24">
        <f t="shared" si="345"/>
        <v>0</v>
      </c>
      <c r="DG197" s="24">
        <f t="shared" si="345"/>
        <v>91937032</v>
      </c>
      <c r="DH197" s="24">
        <f t="shared" si="345"/>
        <v>1940856</v>
      </c>
      <c r="DI197" s="24">
        <f t="shared" si="345"/>
        <v>3438802</v>
      </c>
      <c r="DJ197" s="24">
        <f t="shared" si="345"/>
        <v>278009476</v>
      </c>
      <c r="DK197" s="24">
        <f t="shared" si="345"/>
        <v>2906616378</v>
      </c>
      <c r="DL197" s="24">
        <f t="shared" si="345"/>
        <v>227389861</v>
      </c>
      <c r="DM197" s="24">
        <f t="shared" si="345"/>
        <v>476990564</v>
      </c>
      <c r="DN197" s="24">
        <f t="shared" si="345"/>
        <v>486884577</v>
      </c>
      <c r="DO197" s="24">
        <f t="shared" si="345"/>
        <v>0</v>
      </c>
      <c r="DP197" s="24">
        <f t="shared" si="345"/>
        <v>55028988</v>
      </c>
      <c r="DQ197" s="24">
        <f t="shared" si="345"/>
        <v>92524043</v>
      </c>
      <c r="DR197" s="24">
        <f t="shared" si="345"/>
        <v>680764806</v>
      </c>
    </row>
    <row r="198" spans="3:122" x14ac:dyDescent="0.25">
      <c r="C198" s="36"/>
      <c r="D198" s="35" t="s">
        <v>2</v>
      </c>
      <c r="E198" s="34">
        <v>301</v>
      </c>
      <c r="F198" s="32"/>
      <c r="G198" s="19">
        <f>SUMIF($E$4:$E$186,"301",$G$4:$G$186)</f>
        <v>1952000000</v>
      </c>
      <c r="H198" s="19">
        <f>SUMIF($E$4:$E$186,"301",$H$4:$H$186)</f>
        <v>1889977571</v>
      </c>
      <c r="I198" s="19">
        <f>SUMIF($E$4:$E$186,"301",$I$4:$I$186)</f>
        <v>623509315</v>
      </c>
      <c r="J198" s="32" t="s">
        <v>1</v>
      </c>
      <c r="K198" s="32"/>
      <c r="L198" s="32"/>
      <c r="M198" s="27">
        <f>SUMIF($E$4:$E$186,"301",$M$4:$M$186)</f>
        <v>2513486886</v>
      </c>
      <c r="N198" s="27">
        <f>SUMIF($E$4:$E$186,"301",$N$4:$N$186)</f>
        <v>104079469</v>
      </c>
      <c r="O198" s="33">
        <f>SUMIF($E$4:$E$184,"301",$O$4:$O$184)</f>
        <v>0</v>
      </c>
      <c r="P198" s="33">
        <f>SUMIF($E$4:$E$187,"301",$P$4:$P$187)</f>
        <v>0</v>
      </c>
      <c r="Q198" s="33">
        <f>SUMIF($E$4:$E$186,"301",$Q$4:$Q$186)</f>
        <v>0</v>
      </c>
      <c r="R198" s="27">
        <f>SUMIF($E$4:$E$186,"301",$R$4:$R$186)</f>
        <v>0</v>
      </c>
      <c r="S198" s="32">
        <f>SUMIF($E$4:$E$184,"301",$S$4:$S$184)</f>
        <v>0</v>
      </c>
      <c r="T198" s="32">
        <f>SUMIF($E$4:$E$184,"301",$T$4:$T$184)</f>
        <v>0</v>
      </c>
      <c r="U198" s="32">
        <f>SUMIF($E$4:$E$184,"301",$U$4:$U$184)</f>
        <v>0</v>
      </c>
      <c r="V198" s="32">
        <f>SUMIF($E$4:$E$184,"301",$V$4:$V$184)</f>
        <v>0</v>
      </c>
      <c r="W198" s="32">
        <f>SUMIF($E$4:$E$184,"301",$W$4:$W$184)</f>
        <v>0</v>
      </c>
      <c r="X198" s="32">
        <f>SUMIF($E$4:$E$184,"301",$X$4:$X$184)</f>
        <v>0</v>
      </c>
      <c r="Y198" s="32">
        <f>SUMIF($E$4:$E$184,"301",$Y$4:$Y$184)</f>
        <v>0</v>
      </c>
      <c r="Z198" s="32">
        <f>SUMIF($E$4:$E$184,"301",$Z$4:$Z$184)</f>
        <v>0</v>
      </c>
      <c r="AA198" s="32">
        <f>SUMIF($E$4:$E$184,"301",$AA$4:$AA$184)</f>
        <v>728406867</v>
      </c>
      <c r="AB198" s="32">
        <f>SUMIF($E$4:$E$184,"301",$AB$4:$AB$184)</f>
        <v>346819196</v>
      </c>
      <c r="AC198" s="32">
        <f>SUMIF($E$4:$E$184,"301",$AC$4:$AC$184)</f>
        <v>84573365</v>
      </c>
      <c r="AD198" s="32">
        <f>SUMIF($E$4:$E$155,"301",$AD$4:$AD$155)</f>
        <v>1181607989</v>
      </c>
      <c r="AE198" s="32">
        <f>SUMIF($E$4:$E$155,"301",$AE$4:$AE$155)</f>
        <v>0</v>
      </c>
      <c r="AF198" s="32">
        <f>SUMIF($E$4:$E$184,"301",$AF$4:$AF$184)</f>
        <v>0</v>
      </c>
      <c r="AG198" s="32">
        <f>SUMIF($E$4:$E$186,"301",$AG$4:$AG$186)</f>
        <v>68000000</v>
      </c>
      <c r="AI198" s="31">
        <f t="shared" si="333"/>
        <v>0.96501378125750048</v>
      </c>
      <c r="AJ198" s="30">
        <f>SUM(AK198:BD198)</f>
        <v>2425549484</v>
      </c>
      <c r="AK198" s="27">
        <f>SUMIF($E$4:$E$184,"301",$AK$4:$AK$184)</f>
        <v>103688299</v>
      </c>
      <c r="AL198" s="27">
        <f>SUMIF($E$4:$E$186,"301",$AL$4:$AL$186)</f>
        <v>0</v>
      </c>
      <c r="AM198" s="27">
        <f>SUMIF($E$4:$E$186,"301",$AM$4:$AM$186)</f>
        <v>0</v>
      </c>
      <c r="AN198" s="27">
        <f>SUMIF($E$4:$E$186,"301",$AN$4:$AN$186)</f>
        <v>0</v>
      </c>
      <c r="AO198" s="27">
        <f>SUMIF($E$4:$E$184,"301",$AO$4:$AO$184)</f>
        <v>0</v>
      </c>
      <c r="AP198" s="27">
        <f>SUMIF($E$4:$E$184,"301",$AP$4:$AP$184)</f>
        <v>0</v>
      </c>
      <c r="AQ198" s="27">
        <f>SUMIF($E$4:$E$186,"301",$AQ$4:$AQ$186)</f>
        <v>0</v>
      </c>
      <c r="AR198" s="27">
        <f>SUMIF($E$4:$E$186,"301",$AR$4:$AR$186)</f>
        <v>0</v>
      </c>
      <c r="AS198" s="27">
        <f>SUMIF($E$4:$E$184,"301",$AS$4:$AS$184)</f>
        <v>0</v>
      </c>
      <c r="AT198" s="27">
        <f>SUMIF($E$4:$E$184,"301",$AT$4:$AT$184)</f>
        <v>0</v>
      </c>
      <c r="AU198" s="27">
        <f>SUMIF($E$4:$E$155,"301",$AU$4:$AU$155)</f>
        <v>0</v>
      </c>
      <c r="AV198" s="27">
        <f>SUMIF($E$4:$E$184,"301",$AV$4:$AV$184)</f>
        <v>0</v>
      </c>
      <c r="AW198" s="27">
        <f>SUMIF($E$4:$E$184,"301",$AW$4:$AW$184)</f>
        <v>0</v>
      </c>
      <c r="AX198" s="27">
        <f>SUMIF($E$4:$E$184,"301",$AX$4:$AX$184)</f>
        <v>709199167</v>
      </c>
      <c r="AY198" s="27">
        <f>SUMIF($E$4:$E$186,"301",$AY$4:$AY$186)</f>
        <v>346819196</v>
      </c>
      <c r="AZ198" s="27">
        <f>SUMIF($E$4:$E$184,"301",$AZ$4:$AZ$184)</f>
        <v>47034833</v>
      </c>
      <c r="BA198" s="27">
        <f>SUMIF($E$4:$E$184,"301",$BA$4:$BA$184)</f>
        <v>1157607989</v>
      </c>
      <c r="BB198" s="27">
        <f>SUMIF($E$4:$E$184,"301",$BB$4:$BB$184)</f>
        <v>0</v>
      </c>
      <c r="BC198" s="27">
        <f>SUMIF($E$4:$E$184,"301",$BC$4:$BC$184)</f>
        <v>0</v>
      </c>
      <c r="BD198" s="27">
        <f>SUMIF($E$4:$E$184,"301",$BD$4:$BD$184)</f>
        <v>61200000</v>
      </c>
      <c r="BE198" s="16">
        <f t="shared" si="335"/>
        <v>3.498621874249952E-2</v>
      </c>
      <c r="BF198" s="24">
        <f>SUM(BG198:BZ198)</f>
        <v>87937402</v>
      </c>
      <c r="BG198" s="22">
        <f>SUMIF($E$4:$E$184,"301",$BG$4:$BG$184)</f>
        <v>391170</v>
      </c>
      <c r="BH198" s="22">
        <f>SUMIF($E$4:$E$184,"301",$BH$4:$BH$184)</f>
        <v>0</v>
      </c>
      <c r="BI198" s="22">
        <f>SUMIF($E$4:$E$184,"301",$BI$4:$BI$184)</f>
        <v>0</v>
      </c>
      <c r="BJ198" s="22">
        <f>SUMIF($E$4:$E$186,"301",$BJ$4:$BJ$186)</f>
        <v>0</v>
      </c>
      <c r="BK198" s="22">
        <f>SUMIF($E$4:$E$186,"301",$BK$4:$BK$186)</f>
        <v>0</v>
      </c>
      <c r="BL198" s="22">
        <f>SUMIF($E$4:$E$184,"301",$BL$4:$BL$184)</f>
        <v>0</v>
      </c>
      <c r="BM198" s="22">
        <f>SUMIF($E$4:$E$184,"301",$BM$4:$BM$184)</f>
        <v>0</v>
      </c>
      <c r="BN198" s="22">
        <f>SUMIF($E$4:$E$184,"301",$BN$4:$BN$184)</f>
        <v>0</v>
      </c>
      <c r="BO198" s="22">
        <f>SUMIF($E$4:$E$184,"301",$BO$4:$BO$184)</f>
        <v>0</v>
      </c>
      <c r="BP198" s="22">
        <f>SUMIF($E$4:$E$184,"301",$BP$4:$BP$184)</f>
        <v>0</v>
      </c>
      <c r="BQ198" s="22">
        <f>SUMIF($E$4:$E$184,"301",$BQ$4:$BQ$184)</f>
        <v>0</v>
      </c>
      <c r="BR198" s="22">
        <f>SUMIF($E$4:$E$184,"301",$BR$4:$BR$184)</f>
        <v>0</v>
      </c>
      <c r="BS198" s="22">
        <f>SUMIF($E$4:$E$184,"301",$BS$4:$BS$184)</f>
        <v>0</v>
      </c>
      <c r="BT198" s="22">
        <f>SUMIF($E$4:$E$184,"301",$BT$4:$BT$184)</f>
        <v>19207700</v>
      </c>
      <c r="BU198" s="22">
        <f>SUMIF($E$4:$E$184,"301",$BU$4:$BU$184)</f>
        <v>0</v>
      </c>
      <c r="BV198" s="22">
        <f>SUMIF($E$4:$E$184,"301",$BV$4:$BV$184)</f>
        <v>37538532</v>
      </c>
      <c r="BW198" s="22">
        <f>SUMIF($E$4:$E$184,"301",$BW$4:$BW$184)</f>
        <v>24000000</v>
      </c>
      <c r="BX198" s="22">
        <f>SUMIF($E$4:$E$184,"301",$BX$4:$BX$184)</f>
        <v>0</v>
      </c>
      <c r="BY198" s="22"/>
      <c r="BZ198" s="29">
        <f>SUMIF($E$4:$E$186,"301",$BZ$4:$BZ$186)</f>
        <v>6800000</v>
      </c>
      <c r="CA198" s="28">
        <f t="shared" si="337"/>
        <v>0.75193452630570046</v>
      </c>
      <c r="CB198" s="24">
        <f>SUM(CC198:CV198)</f>
        <v>1889977571</v>
      </c>
      <c r="CC198" s="27">
        <f>SUMIF($E$4:$E$186,"301",$CC$4:$CC$186)</f>
        <v>44765799</v>
      </c>
      <c r="CD198" s="27">
        <f>SUMIF($E$4:$E$184,"301",$CD$4:$CD$184)</f>
        <v>0</v>
      </c>
      <c r="CE198" s="27">
        <f>SUMIF($E$4:$E$184,"301",$CE$4:$CE$184)</f>
        <v>0</v>
      </c>
      <c r="CF198" s="27">
        <f>SUMIF($E$4:$E$184,"301",$CF$4:$CF$184)</f>
        <v>0</v>
      </c>
      <c r="CG198" s="27">
        <f>SUMIF($E$4:$E$186,"301",$CG$4:$CG$186)</f>
        <v>0</v>
      </c>
      <c r="CH198" s="27">
        <f>SUMIF($E$4:$E$184,"301",$CH$4:$CH$184)</f>
        <v>0</v>
      </c>
      <c r="CI198" s="27">
        <f>SUMIF($E$4:$E$184,"301",$CI$4:$CI$184)</f>
        <v>0</v>
      </c>
      <c r="CJ198" s="27">
        <f>SUMIF($E$4:$E$186,"301",$CJ$4:$CJ$186)</f>
        <v>0</v>
      </c>
      <c r="CK198" s="27">
        <f>SUMIF($E$4:$E$184,"301",$CK$4:$CK$184)</f>
        <v>0</v>
      </c>
      <c r="CL198" s="27">
        <f>SUMIF($E$4:$E$184,"301",$CL$4:$CL$184)</f>
        <v>0</v>
      </c>
      <c r="CM198" s="27">
        <f>SUMIF($E$4:$E$184,"301",$CM$4:$CM$184)</f>
        <v>0</v>
      </c>
      <c r="CN198" s="27">
        <f>SUMIF($E$4:$E$184,"301",$CN$4:$CN$184)</f>
        <v>0</v>
      </c>
      <c r="CO198" s="27">
        <f>SUMIF($E$4:$E$184,"301",$CO$4:$CO$184)</f>
        <v>0</v>
      </c>
      <c r="CP198" s="27">
        <f>SUMIF($E$4:$E$186,"301",$CP$4:$CP$186)</f>
        <v>436355867</v>
      </c>
      <c r="CQ198" s="27">
        <f>SUMIF($E$4:$E$184,"301",$CQ$4:$CQ$184)</f>
        <v>324798808</v>
      </c>
      <c r="CR198" s="27">
        <f>SUMIF($E$4:$E$184,"301",$CR$4:$CR$184)</f>
        <v>38290498</v>
      </c>
      <c r="CS198" s="27">
        <f>SUMIF($E$4:$E$184,"301",$CS$4:$CS$184)</f>
        <v>1016162182</v>
      </c>
      <c r="CT198" s="27">
        <f>SUMIF($E$4:$E$184,"301",$CT$4:$CT$184)</f>
        <v>0</v>
      </c>
      <c r="CU198" s="27">
        <f>SUMIF($E$4:$E$184,"301",$CU$4:$CU$184)</f>
        <v>0</v>
      </c>
      <c r="CV198" s="26">
        <f>SUMIF($E$4:$E$184,"301",$CV$4:$CV$184)</f>
        <v>29604417</v>
      </c>
      <c r="CW198" s="25">
        <f t="shared" si="339"/>
        <v>0.24806547369429954</v>
      </c>
      <c r="CX198" s="24">
        <f>SUM(CY198:DR198)</f>
        <v>623509315</v>
      </c>
      <c r="CY198" s="23">
        <f>SUMIF($E$4:$E$186,"301",$CY$4:$CY$186)</f>
        <v>59313670</v>
      </c>
      <c r="CZ198" s="22">
        <f>SUMIF($E$4:$E$184,"301",$CZ$4:$CZ$184)</f>
        <v>0</v>
      </c>
      <c r="DA198" s="22">
        <f>SUMIF($E$4:$E$186,"301",$DA$4:$DA$186)</f>
        <v>0</v>
      </c>
      <c r="DB198" s="22">
        <f>SUMIF($E$4:$E$184,"301",$DB$4:$DB$184)</f>
        <v>0</v>
      </c>
      <c r="DC198" s="22">
        <f>SUMIF($E$4:$E$186,"301",$DC$4:$DC$186)</f>
        <v>0</v>
      </c>
      <c r="DD198" s="22">
        <f>SUMIF($E$4:$E$186,"301",$DD$4:$DD$186)</f>
        <v>0</v>
      </c>
      <c r="DE198" s="22">
        <f>SUMIF($E$4:$E$184,"301",$DE$4:$DE$184)</f>
        <v>0</v>
      </c>
      <c r="DF198" s="22">
        <f>SUMIF($E$4:$E$186,"301",$DF$4:$DF$186)</f>
        <v>0</v>
      </c>
      <c r="DG198" s="21">
        <f>SUMIF($E$4:$E$184,"301",$DG$4:$DG$184)</f>
        <v>0</v>
      </c>
      <c r="DH198" s="21">
        <f>SUMIF($E$4:$E$184,"301",$DH$4:$DH$184)</f>
        <v>0</v>
      </c>
      <c r="DI198" s="21">
        <f>SUMIF($E$4:$E$186,"301",$DI$4:$DI$186)</f>
        <v>0</v>
      </c>
      <c r="DJ198" s="21">
        <f>SUMIF($E$4:$E$184,"301",$DJ$4:$DJ$184)</f>
        <v>0</v>
      </c>
      <c r="DK198" s="21">
        <f>SUMIF($E$4:$E$184,"301",$DK$4:$DK$184)</f>
        <v>0</v>
      </c>
      <c r="DL198" s="21">
        <f>SUMIF($E$4:$E$186,"301",$DL$4:$DL$186)</f>
        <v>292051000</v>
      </c>
      <c r="DM198" s="21">
        <f>SUMIF($E$4:$E$184,"301",$DM$4:$DM$184)</f>
        <v>22020388</v>
      </c>
      <c r="DN198" s="21">
        <f>SUMIF($E$4:$E$184,"301",$DN$4:$DN$184)</f>
        <v>46282867</v>
      </c>
      <c r="DO198" s="21">
        <f>SUMIF($E$4:$E$184,"301",$DO$4:$DO$184)</f>
        <v>165445807</v>
      </c>
      <c r="DP198" s="21">
        <f>SUMIF($E$4:$E$184,"301",$DP$4:$DP$184)</f>
        <v>0</v>
      </c>
      <c r="DQ198" s="21">
        <f>SUMIF($E$4:$E$184,"301",$DQ$4:$DQ$184)</f>
        <v>0</v>
      </c>
      <c r="DR198" s="21">
        <f>SUMIF($E$4:$E$186,"301",$DR$4:$DR$186)</f>
        <v>38395583</v>
      </c>
    </row>
    <row r="199" spans="3:122" ht="15.75" thickBot="1" x14ac:dyDescent="0.3">
      <c r="C199" s="253" t="s">
        <v>0</v>
      </c>
      <c r="D199" s="254"/>
      <c r="E199" s="20"/>
      <c r="F199" s="18"/>
      <c r="G199" s="19">
        <f>SUM(G197:G198)</f>
        <v>31953000000</v>
      </c>
      <c r="H199" s="19">
        <f>SUM(H197:H198)</f>
        <v>11616159919</v>
      </c>
      <c r="I199" s="19">
        <f>SUM(I197:I198)</f>
        <v>13401433555</v>
      </c>
      <c r="J199" s="18"/>
      <c r="K199" s="18"/>
      <c r="L199" s="18"/>
      <c r="M199" s="8">
        <f t="shared" ref="M199:AH199" si="346">SUM(M197:M198)</f>
        <v>25017593474</v>
      </c>
      <c r="N199" s="8">
        <f t="shared" si="346"/>
        <v>104079469</v>
      </c>
      <c r="O199" s="8">
        <f t="shared" si="346"/>
        <v>134533656</v>
      </c>
      <c r="P199" s="8">
        <f t="shared" si="346"/>
        <v>396726534</v>
      </c>
      <c r="Q199" s="8">
        <f t="shared" si="346"/>
        <v>9862143612</v>
      </c>
      <c r="R199" s="8">
        <f t="shared" si="346"/>
        <v>92895874</v>
      </c>
      <c r="S199" s="8">
        <f t="shared" si="346"/>
        <v>2509180877</v>
      </c>
      <c r="T199" s="8">
        <f t="shared" si="346"/>
        <v>1300000000</v>
      </c>
      <c r="U199" s="8">
        <f t="shared" si="346"/>
        <v>102810569</v>
      </c>
      <c r="V199" s="8">
        <f t="shared" si="346"/>
        <v>219471348</v>
      </c>
      <c r="W199" s="8">
        <f t="shared" si="346"/>
        <v>1940856</v>
      </c>
      <c r="X199" s="8">
        <f t="shared" si="346"/>
        <v>3438802</v>
      </c>
      <c r="Y199" s="8">
        <f t="shared" si="346"/>
        <v>318664514</v>
      </c>
      <c r="Z199" s="8">
        <f t="shared" si="346"/>
        <v>4114878115</v>
      </c>
      <c r="AA199" s="8">
        <f t="shared" si="346"/>
        <v>1077016006</v>
      </c>
      <c r="AB199" s="8">
        <f t="shared" si="346"/>
        <v>1074256830</v>
      </c>
      <c r="AC199" s="8">
        <f t="shared" si="346"/>
        <v>963627417</v>
      </c>
      <c r="AD199" s="8">
        <f t="shared" si="346"/>
        <v>1181607989</v>
      </c>
      <c r="AE199" s="8">
        <f t="shared" si="346"/>
        <v>80844085</v>
      </c>
      <c r="AF199" s="8">
        <f t="shared" si="346"/>
        <v>92524043</v>
      </c>
      <c r="AG199" s="8">
        <f t="shared" si="346"/>
        <v>1386952878</v>
      </c>
      <c r="AH199" s="8">
        <f t="shared" si="346"/>
        <v>0</v>
      </c>
      <c r="AI199" s="17">
        <f t="shared" si="333"/>
        <v>0.66034756685006646</v>
      </c>
      <c r="AJ199" s="15">
        <f t="shared" ref="AJ199:BD199" si="347">AJ197+AJ198</f>
        <v>16520306979</v>
      </c>
      <c r="AK199" s="15">
        <f t="shared" si="347"/>
        <v>103688299</v>
      </c>
      <c r="AL199" s="15">
        <f t="shared" si="347"/>
        <v>133268976</v>
      </c>
      <c r="AM199" s="15">
        <f t="shared" si="347"/>
        <v>396726534</v>
      </c>
      <c r="AN199" s="15">
        <f t="shared" si="347"/>
        <v>4910165187</v>
      </c>
      <c r="AO199" s="15">
        <f t="shared" si="347"/>
        <v>17503290</v>
      </c>
      <c r="AP199" s="15">
        <f t="shared" si="347"/>
        <v>1959007333</v>
      </c>
      <c r="AQ199" s="15">
        <f t="shared" si="347"/>
        <v>1132695531</v>
      </c>
      <c r="AR199" s="15">
        <f t="shared" si="347"/>
        <v>102810569</v>
      </c>
      <c r="AS199" s="15">
        <f t="shared" si="347"/>
        <v>219471348</v>
      </c>
      <c r="AT199" s="15">
        <f t="shared" si="347"/>
        <v>0</v>
      </c>
      <c r="AU199" s="15">
        <f t="shared" si="347"/>
        <v>0</v>
      </c>
      <c r="AV199" s="15">
        <f t="shared" si="347"/>
        <v>40655038</v>
      </c>
      <c r="AW199" s="15">
        <f t="shared" si="347"/>
        <v>2606923243</v>
      </c>
      <c r="AX199" s="15">
        <f t="shared" si="347"/>
        <v>904023169</v>
      </c>
      <c r="AY199" s="15">
        <f t="shared" si="347"/>
        <v>742234156</v>
      </c>
      <c r="AZ199" s="15">
        <f t="shared" si="347"/>
        <v>835087016</v>
      </c>
      <c r="BA199" s="15">
        <f t="shared" si="347"/>
        <v>1157607989</v>
      </c>
      <c r="BB199" s="15">
        <f t="shared" si="347"/>
        <v>80844085</v>
      </c>
      <c r="BC199" s="15">
        <f t="shared" si="347"/>
        <v>92524043</v>
      </c>
      <c r="BD199" s="15">
        <f t="shared" si="347"/>
        <v>1085071173</v>
      </c>
      <c r="BE199" s="16">
        <f t="shared" si="335"/>
        <v>0.33965243314993354</v>
      </c>
      <c r="BF199" s="15">
        <f>BF197+BF198</f>
        <v>8497286495</v>
      </c>
      <c r="BG199" s="15">
        <f>BG197+BG198</f>
        <v>391170</v>
      </c>
      <c r="BH199" s="15">
        <f>BH197+BH198</f>
        <v>1264680</v>
      </c>
      <c r="BI199" s="15">
        <f>BI197+BI198</f>
        <v>0</v>
      </c>
      <c r="BJ199" s="12">
        <f t="shared" ref="BJ199:BZ199" si="348">+BJ197+BJ198</f>
        <v>4951978425</v>
      </c>
      <c r="BK199" s="12">
        <f t="shared" si="348"/>
        <v>75392584</v>
      </c>
      <c r="BL199" s="12">
        <f t="shared" si="348"/>
        <v>550173544</v>
      </c>
      <c r="BM199" s="12">
        <f t="shared" si="348"/>
        <v>167304469</v>
      </c>
      <c r="BN199" s="12">
        <f t="shared" si="348"/>
        <v>0</v>
      </c>
      <c r="BO199" s="12">
        <f t="shared" si="348"/>
        <v>0</v>
      </c>
      <c r="BP199" s="12">
        <f t="shared" si="348"/>
        <v>1940856</v>
      </c>
      <c r="BQ199" s="12">
        <f t="shared" si="348"/>
        <v>3438802</v>
      </c>
      <c r="BR199" s="12">
        <f t="shared" si="348"/>
        <v>278009476</v>
      </c>
      <c r="BS199" s="12">
        <f t="shared" si="348"/>
        <v>1507954872</v>
      </c>
      <c r="BT199" s="12">
        <f t="shared" si="348"/>
        <v>172992837</v>
      </c>
      <c r="BU199" s="12">
        <f t="shared" si="348"/>
        <v>332022674</v>
      </c>
      <c r="BV199" s="12">
        <f t="shared" si="348"/>
        <v>128540401</v>
      </c>
      <c r="BW199" s="12">
        <f t="shared" si="348"/>
        <v>24000000</v>
      </c>
      <c r="BX199" s="12">
        <f t="shared" si="348"/>
        <v>0</v>
      </c>
      <c r="BY199" s="12">
        <f t="shared" si="348"/>
        <v>0</v>
      </c>
      <c r="BZ199" s="12">
        <f t="shared" si="348"/>
        <v>301881705</v>
      </c>
      <c r="CA199" s="14">
        <f t="shared" si="337"/>
        <v>0.46431963694159117</v>
      </c>
      <c r="CB199" s="13">
        <f t="shared" ref="CB199:CG199" si="349">+CB197+CB198</f>
        <v>11616159919</v>
      </c>
      <c r="CC199" s="12">
        <f t="shared" si="349"/>
        <v>44765799</v>
      </c>
      <c r="CD199" s="12">
        <f t="shared" si="349"/>
        <v>133268976</v>
      </c>
      <c r="CE199" s="12">
        <f t="shared" si="349"/>
        <v>396726534</v>
      </c>
      <c r="CF199" s="12">
        <f t="shared" si="349"/>
        <v>3932442731</v>
      </c>
      <c r="CG199" s="12">
        <f t="shared" si="349"/>
        <v>12550540</v>
      </c>
      <c r="CH199" s="8">
        <f t="shared" ref="CH199:CV199" si="350">SUM(CH197:CH198)</f>
        <v>1590860535</v>
      </c>
      <c r="CI199" s="8">
        <f t="shared" si="350"/>
        <v>753232380</v>
      </c>
      <c r="CJ199" s="8">
        <f t="shared" si="350"/>
        <v>102810569</v>
      </c>
      <c r="CK199" s="8">
        <f t="shared" si="350"/>
        <v>127534316</v>
      </c>
      <c r="CL199" s="8">
        <f t="shared" si="350"/>
        <v>0</v>
      </c>
      <c r="CM199" s="8">
        <f t="shared" si="350"/>
        <v>0</v>
      </c>
      <c r="CN199" s="8">
        <f t="shared" si="350"/>
        <v>40655038</v>
      </c>
      <c r="CO199" s="8">
        <f t="shared" si="350"/>
        <v>1208261737</v>
      </c>
      <c r="CP199" s="8">
        <f t="shared" si="350"/>
        <v>557575145</v>
      </c>
      <c r="CQ199" s="8">
        <f t="shared" si="350"/>
        <v>575245878</v>
      </c>
      <c r="CR199" s="8">
        <f t="shared" si="350"/>
        <v>430459973</v>
      </c>
      <c r="CS199" s="8">
        <f t="shared" si="350"/>
        <v>1016162182</v>
      </c>
      <c r="CT199" s="8">
        <f t="shared" si="350"/>
        <v>25815097</v>
      </c>
      <c r="CU199" s="8">
        <f t="shared" si="350"/>
        <v>0</v>
      </c>
      <c r="CV199" s="9">
        <f t="shared" si="350"/>
        <v>667792489</v>
      </c>
      <c r="CW199" s="11">
        <f t="shared" si="339"/>
        <v>0.53568036305840883</v>
      </c>
      <c r="CX199" s="8">
        <f t="shared" ref="CX199:DR199" ca="1" si="351">SUM(CX197:CX198)</f>
        <v>13401433555</v>
      </c>
      <c r="CY199" s="10">
        <f t="shared" si="351"/>
        <v>59313670</v>
      </c>
      <c r="CZ199" s="9">
        <f t="shared" ca="1" si="351"/>
        <v>1264680</v>
      </c>
      <c r="DA199" s="9">
        <f t="shared" si="351"/>
        <v>0</v>
      </c>
      <c r="DB199" s="9">
        <f t="shared" si="351"/>
        <v>5929700881</v>
      </c>
      <c r="DC199" s="9">
        <f t="shared" si="351"/>
        <v>80345334</v>
      </c>
      <c r="DD199" s="8">
        <f t="shared" si="351"/>
        <v>918320342</v>
      </c>
      <c r="DE199" s="8">
        <f t="shared" si="351"/>
        <v>546767620</v>
      </c>
      <c r="DF199" s="8">
        <f t="shared" si="351"/>
        <v>0</v>
      </c>
      <c r="DG199" s="7">
        <f t="shared" si="351"/>
        <v>91937032</v>
      </c>
      <c r="DH199" s="7">
        <f t="shared" si="351"/>
        <v>1940856</v>
      </c>
      <c r="DI199" s="7">
        <f t="shared" si="351"/>
        <v>3438802</v>
      </c>
      <c r="DJ199" s="7">
        <f t="shared" si="351"/>
        <v>278009476</v>
      </c>
      <c r="DK199" s="7">
        <f t="shared" si="351"/>
        <v>2906616378</v>
      </c>
      <c r="DL199" s="7">
        <f t="shared" si="351"/>
        <v>519440861</v>
      </c>
      <c r="DM199" s="7">
        <f t="shared" si="351"/>
        <v>499010952</v>
      </c>
      <c r="DN199" s="7">
        <f t="shared" si="351"/>
        <v>533167444</v>
      </c>
      <c r="DO199" s="7">
        <f t="shared" si="351"/>
        <v>165445807</v>
      </c>
      <c r="DP199" s="7">
        <f t="shared" si="351"/>
        <v>55028988</v>
      </c>
      <c r="DQ199" s="7">
        <f t="shared" si="351"/>
        <v>92524043</v>
      </c>
      <c r="DR199" s="7">
        <f t="shared" si="351"/>
        <v>719160389</v>
      </c>
    </row>
    <row r="200" spans="3:122" ht="15.75" thickTop="1" x14ac:dyDescent="0.25">
      <c r="M200" s="1">
        <f t="shared" ref="M200:AG200" si="352">+M189-M199</f>
        <v>0</v>
      </c>
      <c r="N200" s="1">
        <f t="shared" si="352"/>
        <v>0</v>
      </c>
      <c r="O200" s="1">
        <f t="shared" si="352"/>
        <v>0</v>
      </c>
      <c r="P200" s="1">
        <f t="shared" si="352"/>
        <v>0</v>
      </c>
      <c r="Q200" s="1">
        <f t="shared" si="352"/>
        <v>0</v>
      </c>
      <c r="R200" s="1">
        <f t="shared" si="352"/>
        <v>0</v>
      </c>
      <c r="S200" s="1">
        <f t="shared" si="352"/>
        <v>0</v>
      </c>
      <c r="T200" s="1">
        <f t="shared" si="352"/>
        <v>0</v>
      </c>
      <c r="U200" s="1">
        <f t="shared" si="352"/>
        <v>0</v>
      </c>
      <c r="V200" s="1">
        <f t="shared" si="352"/>
        <v>0</v>
      </c>
      <c r="W200" s="1">
        <f t="shared" si="352"/>
        <v>0</v>
      </c>
      <c r="X200" s="1">
        <f t="shared" si="352"/>
        <v>0</v>
      </c>
      <c r="Y200" s="1">
        <f t="shared" si="352"/>
        <v>0</v>
      </c>
      <c r="Z200" s="1">
        <f t="shared" si="352"/>
        <v>0</v>
      </c>
      <c r="AA200" s="1">
        <f t="shared" si="352"/>
        <v>0</v>
      </c>
      <c r="AB200" s="1">
        <f t="shared" si="352"/>
        <v>0</v>
      </c>
      <c r="AC200" s="1">
        <f t="shared" si="352"/>
        <v>0</v>
      </c>
      <c r="AD200" s="1">
        <f t="shared" si="352"/>
        <v>0</v>
      </c>
      <c r="AE200" s="1">
        <f t="shared" si="352"/>
        <v>0</v>
      </c>
      <c r="AF200" s="1">
        <f t="shared" si="352"/>
        <v>0</v>
      </c>
      <c r="AG200" s="1">
        <f t="shared" si="352"/>
        <v>0</v>
      </c>
      <c r="AJ200" s="1">
        <f t="shared" ref="AJ200:BD200" si="353">+AJ189-AJ199</f>
        <v>0</v>
      </c>
      <c r="AK200" s="1">
        <f t="shared" si="353"/>
        <v>0</v>
      </c>
      <c r="AL200" s="1">
        <f t="shared" si="353"/>
        <v>0</v>
      </c>
      <c r="AM200" s="1">
        <f t="shared" si="353"/>
        <v>0</v>
      </c>
      <c r="AN200" s="1">
        <f t="shared" si="353"/>
        <v>0</v>
      </c>
      <c r="AO200" s="1">
        <f t="shared" si="353"/>
        <v>0</v>
      </c>
      <c r="AP200" s="1">
        <f t="shared" si="353"/>
        <v>0</v>
      </c>
      <c r="AQ200" s="1">
        <f t="shared" si="353"/>
        <v>0</v>
      </c>
      <c r="AR200" s="1">
        <f t="shared" si="353"/>
        <v>0</v>
      </c>
      <c r="AS200" s="1">
        <f t="shared" si="353"/>
        <v>0</v>
      </c>
      <c r="AT200" s="1">
        <f t="shared" si="353"/>
        <v>0</v>
      </c>
      <c r="AU200" s="1">
        <f t="shared" si="353"/>
        <v>0</v>
      </c>
      <c r="AV200" s="1">
        <f t="shared" si="353"/>
        <v>0</v>
      </c>
      <c r="AW200" s="1">
        <f t="shared" si="353"/>
        <v>0</v>
      </c>
      <c r="AX200" s="1">
        <f t="shared" si="353"/>
        <v>0</v>
      </c>
      <c r="AY200" s="1">
        <f t="shared" si="353"/>
        <v>0</v>
      </c>
      <c r="AZ200" s="1">
        <f t="shared" si="353"/>
        <v>0</v>
      </c>
      <c r="BA200" s="1">
        <f t="shared" si="353"/>
        <v>0</v>
      </c>
      <c r="BB200" s="1">
        <f t="shared" si="353"/>
        <v>0</v>
      </c>
      <c r="BC200" s="1">
        <f t="shared" si="353"/>
        <v>0</v>
      </c>
      <c r="BD200" s="1">
        <f t="shared" si="353"/>
        <v>0</v>
      </c>
      <c r="BF200" s="1">
        <f t="shared" ref="BF200:BZ200" si="354">+BF189-BF199</f>
        <v>0</v>
      </c>
      <c r="BG200" s="1">
        <f t="shared" si="354"/>
        <v>0</v>
      </c>
      <c r="BH200" s="1">
        <f t="shared" si="354"/>
        <v>0</v>
      </c>
      <c r="BI200" s="1">
        <f t="shared" si="354"/>
        <v>0</v>
      </c>
      <c r="BJ200" s="1">
        <f t="shared" si="354"/>
        <v>0</v>
      </c>
      <c r="BK200" s="1">
        <f t="shared" si="354"/>
        <v>0</v>
      </c>
      <c r="BL200" s="1">
        <f t="shared" si="354"/>
        <v>0</v>
      </c>
      <c r="BM200" s="1">
        <f t="shared" si="354"/>
        <v>0</v>
      </c>
      <c r="BN200" s="1">
        <f t="shared" si="354"/>
        <v>0</v>
      </c>
      <c r="BO200" s="1">
        <f t="shared" si="354"/>
        <v>0</v>
      </c>
      <c r="BP200" s="1">
        <f t="shared" si="354"/>
        <v>0</v>
      </c>
      <c r="BQ200" s="1">
        <f t="shared" si="354"/>
        <v>0</v>
      </c>
      <c r="BR200" s="1">
        <f t="shared" si="354"/>
        <v>0</v>
      </c>
      <c r="BS200" s="1">
        <f t="shared" si="354"/>
        <v>0</v>
      </c>
      <c r="BT200" s="1">
        <f t="shared" si="354"/>
        <v>0</v>
      </c>
      <c r="BU200" s="1">
        <f t="shared" si="354"/>
        <v>0</v>
      </c>
      <c r="BV200" s="1">
        <f t="shared" si="354"/>
        <v>0</v>
      </c>
      <c r="BW200" s="1">
        <f t="shared" si="354"/>
        <v>0</v>
      </c>
      <c r="BX200" s="1">
        <f t="shared" si="354"/>
        <v>0</v>
      </c>
      <c r="BY200" s="1">
        <f t="shared" si="354"/>
        <v>0</v>
      </c>
      <c r="BZ200" s="1">
        <f t="shared" si="354"/>
        <v>0</v>
      </c>
      <c r="CB200" s="1">
        <f t="shared" ref="CB200:CV200" si="355">+CB189-CB199</f>
        <v>0</v>
      </c>
      <c r="CC200" s="1">
        <f t="shared" si="355"/>
        <v>0</v>
      </c>
      <c r="CD200" s="1">
        <f t="shared" si="355"/>
        <v>0</v>
      </c>
      <c r="CE200" s="1">
        <f t="shared" si="355"/>
        <v>0</v>
      </c>
      <c r="CF200" s="1">
        <f t="shared" si="355"/>
        <v>0</v>
      </c>
      <c r="CG200" s="1">
        <f t="shared" si="355"/>
        <v>0</v>
      </c>
      <c r="CH200" s="1">
        <f t="shared" si="355"/>
        <v>0</v>
      </c>
      <c r="CI200" s="1">
        <f t="shared" si="355"/>
        <v>0</v>
      </c>
      <c r="CJ200" s="1">
        <f t="shared" si="355"/>
        <v>0</v>
      </c>
      <c r="CK200" s="1">
        <f t="shared" si="355"/>
        <v>0</v>
      </c>
      <c r="CL200" s="1">
        <f t="shared" si="355"/>
        <v>0</v>
      </c>
      <c r="CM200" s="1">
        <f t="shared" si="355"/>
        <v>0</v>
      </c>
      <c r="CN200" s="1">
        <f t="shared" si="355"/>
        <v>0</v>
      </c>
      <c r="CO200" s="1">
        <f t="shared" si="355"/>
        <v>0</v>
      </c>
      <c r="CP200" s="1">
        <f t="shared" si="355"/>
        <v>0</v>
      </c>
      <c r="CQ200" s="1">
        <f t="shared" si="355"/>
        <v>0</v>
      </c>
      <c r="CR200" s="1">
        <f t="shared" si="355"/>
        <v>0</v>
      </c>
      <c r="CS200" s="1">
        <f t="shared" si="355"/>
        <v>0</v>
      </c>
      <c r="CT200" s="1">
        <f t="shared" si="355"/>
        <v>0</v>
      </c>
      <c r="CU200" s="1">
        <f t="shared" si="355"/>
        <v>0</v>
      </c>
      <c r="CV200" s="1">
        <f t="shared" si="355"/>
        <v>0</v>
      </c>
      <c r="CW200" s="1"/>
      <c r="CX200" s="1">
        <f t="shared" ref="CX200:DR200" ca="1" si="356">+CX189-CX199</f>
        <v>0</v>
      </c>
      <c r="CY200" s="1">
        <f t="shared" si="356"/>
        <v>0</v>
      </c>
      <c r="CZ200" s="1">
        <f t="shared" ca="1" si="356"/>
        <v>0</v>
      </c>
      <c r="DA200" s="1">
        <f t="shared" si="356"/>
        <v>0</v>
      </c>
      <c r="DB200" s="1">
        <f t="shared" si="356"/>
        <v>0</v>
      </c>
      <c r="DC200" s="1">
        <f t="shared" si="356"/>
        <v>0</v>
      </c>
      <c r="DD200" s="1">
        <f t="shared" si="356"/>
        <v>0</v>
      </c>
      <c r="DE200" s="1">
        <f t="shared" si="356"/>
        <v>0</v>
      </c>
      <c r="DF200" s="1">
        <f t="shared" si="356"/>
        <v>0</v>
      </c>
      <c r="DG200" s="1">
        <f t="shared" si="356"/>
        <v>0</v>
      </c>
      <c r="DH200" s="1">
        <f t="shared" si="356"/>
        <v>0</v>
      </c>
      <c r="DI200" s="1">
        <f t="shared" si="356"/>
        <v>0</v>
      </c>
      <c r="DJ200" s="1">
        <f t="shared" si="356"/>
        <v>0</v>
      </c>
      <c r="DK200" s="1">
        <f t="shared" si="356"/>
        <v>0</v>
      </c>
      <c r="DL200" s="1">
        <f t="shared" si="356"/>
        <v>0</v>
      </c>
      <c r="DM200" s="1">
        <f t="shared" si="356"/>
        <v>0</v>
      </c>
      <c r="DN200" s="1">
        <f t="shared" si="356"/>
        <v>0</v>
      </c>
      <c r="DO200" s="1">
        <f t="shared" si="356"/>
        <v>0</v>
      </c>
      <c r="DP200" s="1">
        <f t="shared" si="356"/>
        <v>0</v>
      </c>
      <c r="DQ200" s="1">
        <f t="shared" si="356"/>
        <v>0</v>
      </c>
      <c r="DR200" s="1">
        <f t="shared" si="356"/>
        <v>0</v>
      </c>
    </row>
    <row r="201" spans="3:122" x14ac:dyDescent="0.25"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>
        <f>+AJ199+BF199</f>
        <v>25017593474</v>
      </c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>
        <f ca="1">+CB199+CX199</f>
        <v>25017593474</v>
      </c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</row>
    <row r="202" spans="3:122" x14ac:dyDescent="0.25">
      <c r="D202" s="6"/>
      <c r="F202" s="1"/>
      <c r="G202" s="1"/>
      <c r="H202" s="1"/>
      <c r="I202" s="1"/>
      <c r="J202" s="1"/>
      <c r="K202" s="1"/>
      <c r="L202" s="1"/>
      <c r="M202" s="5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</row>
    <row r="203" spans="3:122" x14ac:dyDescent="0.25">
      <c r="D203" s="3"/>
      <c r="M203" s="2"/>
      <c r="N203" s="1"/>
      <c r="O203" s="1"/>
      <c r="P203" s="1"/>
      <c r="Q203" s="1"/>
      <c r="R203" s="1"/>
      <c r="S203" s="4"/>
      <c r="AC203" s="1"/>
      <c r="AF203" s="1"/>
      <c r="AG203" s="1"/>
      <c r="AJ203" s="1"/>
      <c r="AK203" s="1"/>
      <c r="AL203" s="1"/>
      <c r="AM203" s="1"/>
      <c r="CB203" s="1"/>
      <c r="CC203" s="1"/>
      <c r="CV203" s="1"/>
      <c r="CX203" s="1"/>
      <c r="CY203" s="1"/>
    </row>
    <row r="204" spans="3:122" x14ac:dyDescent="0.25">
      <c r="D204" s="3"/>
      <c r="M204" s="2"/>
      <c r="N204" s="1"/>
      <c r="O204" s="1"/>
      <c r="P204" s="1"/>
      <c r="Q204" s="1"/>
      <c r="R204" s="1"/>
      <c r="AG204" s="1"/>
      <c r="AJ204" s="1"/>
      <c r="CV204" s="1"/>
      <c r="CX204" s="1"/>
      <c r="CY204" s="1"/>
    </row>
    <row r="205" spans="3:122" x14ac:dyDescent="0.25">
      <c r="D205" s="3"/>
      <c r="M205" s="2"/>
      <c r="O205" s="1"/>
      <c r="AB205" s="1"/>
      <c r="AJ205" s="1"/>
    </row>
    <row r="206" spans="3:122" x14ac:dyDescent="0.25">
      <c r="D206" s="3"/>
      <c r="M206" s="2"/>
      <c r="AB206" s="1"/>
      <c r="AJ206" s="1"/>
      <c r="CB206" s="1"/>
    </row>
    <row r="207" spans="3:122" x14ac:dyDescent="0.25">
      <c r="D207" s="3"/>
      <c r="M207" s="2"/>
      <c r="O207" s="1"/>
      <c r="Q207" s="1"/>
    </row>
    <row r="208" spans="3:122" x14ac:dyDescent="0.25">
      <c r="D208" s="3"/>
      <c r="M208" s="2"/>
      <c r="Q208" s="1"/>
    </row>
    <row r="209" spans="15:15" x14ac:dyDescent="0.25">
      <c r="O209" s="1"/>
    </row>
  </sheetData>
  <mergeCells count="80">
    <mergeCell ref="B187:D187"/>
    <mergeCell ref="C189:E189"/>
    <mergeCell ref="C199:D199"/>
    <mergeCell ref="B103:F103"/>
    <mergeCell ref="A105:A120"/>
    <mergeCell ref="G105:G113"/>
    <mergeCell ref="G117:G119"/>
    <mergeCell ref="B121:F121"/>
    <mergeCell ref="A122:A186"/>
    <mergeCell ref="G122:G123"/>
    <mergeCell ref="G124:G168"/>
    <mergeCell ref="G169:G176"/>
    <mergeCell ref="G178:G182"/>
    <mergeCell ref="G184:G185"/>
    <mergeCell ref="B67:E67"/>
    <mergeCell ref="A68:A102"/>
    <mergeCell ref="G68:G73"/>
    <mergeCell ref="G74:G76"/>
    <mergeCell ref="G77:G88"/>
    <mergeCell ref="G89:G92"/>
    <mergeCell ref="G93:G94"/>
    <mergeCell ref="G95:G98"/>
    <mergeCell ref="G100:G102"/>
    <mergeCell ref="A35:A66"/>
    <mergeCell ref="G35:G37"/>
    <mergeCell ref="G38:G43"/>
    <mergeCell ref="G44:G47"/>
    <mergeCell ref="G48:G52"/>
    <mergeCell ref="G53:G55"/>
    <mergeCell ref="G56:G57"/>
    <mergeCell ref="G58:G59"/>
    <mergeCell ref="G61:G66"/>
    <mergeCell ref="B34:E34"/>
    <mergeCell ref="G24:G26"/>
    <mergeCell ref="J24:J26"/>
    <mergeCell ref="K24:K26"/>
    <mergeCell ref="L24:L26"/>
    <mergeCell ref="G27:G29"/>
    <mergeCell ref="J27:J29"/>
    <mergeCell ref="K27:K29"/>
    <mergeCell ref="L27:L29"/>
    <mergeCell ref="B30:B33"/>
    <mergeCell ref="G30:G33"/>
    <mergeCell ref="J30:J33"/>
    <mergeCell ref="K30:K33"/>
    <mergeCell ref="L30:L33"/>
    <mergeCell ref="A4:A33"/>
    <mergeCell ref="G4:G9"/>
    <mergeCell ref="J4:J9"/>
    <mergeCell ref="K4:K9"/>
    <mergeCell ref="L4:L9"/>
    <mergeCell ref="G10:G16"/>
    <mergeCell ref="J10:J16"/>
    <mergeCell ref="K10:K16"/>
    <mergeCell ref="G17:G21"/>
    <mergeCell ref="J17:J21"/>
    <mergeCell ref="K17:K21"/>
    <mergeCell ref="L17:L21"/>
    <mergeCell ref="G22:G23"/>
    <mergeCell ref="J22:J23"/>
    <mergeCell ref="A2:A3"/>
    <mergeCell ref="B2:B3"/>
    <mergeCell ref="C2:C3"/>
    <mergeCell ref="D2:D3"/>
    <mergeCell ref="E2:E3"/>
    <mergeCell ref="CB1:CV1"/>
    <mergeCell ref="CX1:DR1"/>
    <mergeCell ref="F2:F3"/>
    <mergeCell ref="C1:F1"/>
    <mergeCell ref="M1:AG1"/>
    <mergeCell ref="AJ1:BD1"/>
    <mergeCell ref="BH1:CA1"/>
    <mergeCell ref="CX2:DI2"/>
    <mergeCell ref="DJ2:DR2"/>
    <mergeCell ref="M2:AG2"/>
    <mergeCell ref="AJ2:BD2"/>
    <mergeCell ref="BH2:BQ2"/>
    <mergeCell ref="BR2:BZ2"/>
    <mergeCell ref="CD2:CN2"/>
    <mergeCell ref="CP2:CV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A 31 DE AGOSTO DE  2015
 RESOLUCION  193 DEL 28 DE AGOSTO DE 2015</oddHeader>
    <oddFooter>&amp;LUNIDAD DE PLANEAMIENTO ECONÓMICO Y ADMINISTRATIVO&amp;COFICINA DE PLANEACIÓN&amp;RPágina &amp;P de &amp;N</oddFooter>
  </headerFooter>
  <rowBreaks count="1" manualBreakCount="1">
    <brk id="38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T209"/>
  <sheetViews>
    <sheetView topLeftCell="C1" zoomScaleNormal="100" zoomScalePageLayoutView="50" workbookViewId="0">
      <pane xSplit="1" ySplit="3" topLeftCell="D130" activePane="bottomRight" state="frozen"/>
      <selection activeCell="C1" sqref="C1"/>
      <selection pane="topRight" activeCell="D1" sqref="D1"/>
      <selection pane="bottomLeft" activeCell="C4" sqref="C4"/>
      <selection pane="bottomRight" activeCell="M11" sqref="M11"/>
    </sheetView>
  </sheetViews>
  <sheetFormatPr baseColWidth="10" defaultColWidth="11.42578125" defaultRowHeight="15" x14ac:dyDescent="0.25"/>
  <cols>
    <col min="1" max="1" width="12.85546875" hidden="1" customWidth="1"/>
    <col min="2" max="2" width="23.28515625" hidden="1" customWidth="1"/>
    <col min="3" max="3" width="10.140625" customWidth="1"/>
    <col min="4" max="4" width="41.5703125" customWidth="1"/>
    <col min="5" max="5" width="6.85546875" customWidth="1"/>
    <col min="6" max="6" width="12.5703125" customWidth="1"/>
    <col min="7" max="9" width="12.5703125" hidden="1" customWidth="1"/>
    <col min="10" max="10" width="17.140625" hidden="1" customWidth="1"/>
    <col min="11" max="11" width="14.5703125" hidden="1" customWidth="1"/>
    <col min="12" max="12" width="14.28515625" hidden="1" customWidth="1"/>
    <col min="13" max="13" width="17.85546875" customWidth="1"/>
    <col min="14" max="14" width="13.28515625" hidden="1" customWidth="1"/>
    <col min="15" max="16" width="13.42578125" hidden="1" customWidth="1"/>
    <col min="17" max="17" width="14.42578125" hidden="1" customWidth="1"/>
    <col min="18" max="18" width="12.7109375" hidden="1" customWidth="1"/>
    <col min="19" max="19" width="13.7109375" hidden="1" customWidth="1"/>
    <col min="20" max="20" width="14.7109375" hidden="1" customWidth="1"/>
    <col min="21" max="21" width="12.85546875" hidden="1" customWidth="1"/>
    <col min="22" max="22" width="11.85546875" hidden="1" customWidth="1"/>
    <col min="23" max="23" width="11.42578125" hidden="1" customWidth="1"/>
    <col min="24" max="24" width="10.7109375" hidden="1" customWidth="1"/>
    <col min="25" max="25" width="12.42578125" hidden="1" customWidth="1"/>
    <col min="26" max="26" width="13.5703125" hidden="1" customWidth="1"/>
    <col min="27" max="27" width="14.42578125" hidden="1" customWidth="1"/>
    <col min="28" max="28" width="14.140625" hidden="1" customWidth="1"/>
    <col min="29" max="29" width="12.5703125" hidden="1" customWidth="1"/>
    <col min="30" max="30" width="14" hidden="1" customWidth="1"/>
    <col min="31" max="31" width="12.28515625" hidden="1" customWidth="1"/>
    <col min="32" max="32" width="12" hidden="1" customWidth="1"/>
    <col min="33" max="33" width="14.42578125" hidden="1" customWidth="1"/>
    <col min="34" max="34" width="1.140625" customWidth="1"/>
    <col min="35" max="35" width="11.85546875" customWidth="1"/>
    <col min="36" max="36" width="16.140625" customWidth="1"/>
    <col min="37" max="37" width="15.5703125" hidden="1" customWidth="1"/>
    <col min="38" max="39" width="13.5703125" hidden="1" customWidth="1"/>
    <col min="40" max="40" width="14" hidden="1" customWidth="1"/>
    <col min="41" max="41" width="17.28515625" hidden="1" customWidth="1"/>
    <col min="42" max="42" width="16.1406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8" width="14.42578125" hidden="1" customWidth="1"/>
    <col min="49" max="49" width="14.140625" hidden="1" customWidth="1"/>
    <col min="50" max="50" width="13.28515625" hidden="1" customWidth="1"/>
    <col min="51" max="51" width="13.5703125" hidden="1" customWidth="1"/>
    <col min="52" max="52" width="13.42578125" hidden="1" customWidth="1"/>
    <col min="53" max="53" width="17.7109375" hidden="1" customWidth="1"/>
    <col min="54" max="54" width="14.85546875" hidden="1" customWidth="1"/>
    <col min="55" max="55" width="15.5703125" hidden="1" customWidth="1"/>
    <col min="56" max="56" width="13.85546875" hidden="1" customWidth="1"/>
    <col min="57" max="57" width="9.5703125" customWidth="1"/>
    <col min="58" max="58" width="14.28515625" customWidth="1"/>
    <col min="59" max="59" width="15.85546875" hidden="1" customWidth="1"/>
    <col min="60" max="61" width="14" hidden="1" customWidth="1"/>
    <col min="62" max="62" width="15.140625" hidden="1" customWidth="1"/>
    <col min="63" max="63" width="16.5703125" hidden="1" customWidth="1"/>
    <col min="64" max="64" width="13.5703125" hidden="1" customWidth="1"/>
    <col min="65" max="66" width="13.85546875" hidden="1" customWidth="1"/>
    <col min="67" max="68" width="12.28515625" hidden="1" customWidth="1"/>
    <col min="69" max="69" width="11.140625" hidden="1" customWidth="1"/>
    <col min="70" max="70" width="12.5703125" hidden="1" customWidth="1"/>
    <col min="71" max="71" width="13.5703125" hidden="1" customWidth="1"/>
    <col min="72" max="72" width="15.140625" hidden="1" customWidth="1"/>
    <col min="73" max="73" width="13.85546875" hidden="1" customWidth="1"/>
    <col min="74" max="74" width="15" hidden="1" customWidth="1"/>
    <col min="75" max="75" width="13.42578125" hidden="1" customWidth="1"/>
    <col min="76" max="76" width="13.5703125" hidden="1" customWidth="1"/>
    <col min="77" max="77" width="13.7109375" hidden="1" customWidth="1"/>
    <col min="78" max="78" width="14" hidden="1" customWidth="1"/>
    <col min="79" max="79" width="9" customWidth="1"/>
    <col min="80" max="80" width="15.7109375" customWidth="1"/>
    <col min="81" max="81" width="14.42578125" hidden="1" customWidth="1"/>
    <col min="82" max="83" width="12.28515625" hidden="1" customWidth="1"/>
    <col min="84" max="84" width="13.28515625" hidden="1" customWidth="1"/>
    <col min="85" max="85" width="14" hidden="1" customWidth="1"/>
    <col min="86" max="86" width="15.42578125" hidden="1" customWidth="1"/>
    <col min="87" max="87" width="15.28515625" hidden="1" customWidth="1"/>
    <col min="88" max="88" width="12.42578125" hidden="1" customWidth="1"/>
    <col min="89" max="89" width="11.7109375" hidden="1" customWidth="1"/>
    <col min="90" max="90" width="13.42578125" hidden="1" customWidth="1"/>
    <col min="91" max="91" width="11.42578125" hidden="1" customWidth="1"/>
    <col min="92" max="92" width="15.7109375" hidden="1" customWidth="1"/>
    <col min="93" max="93" width="16.28515625" hidden="1" customWidth="1"/>
    <col min="94" max="94" width="16.5703125" hidden="1" customWidth="1"/>
    <col min="95" max="95" width="17.140625" hidden="1" customWidth="1"/>
    <col min="96" max="96" width="13" hidden="1" customWidth="1"/>
    <col min="97" max="97" width="14.28515625" hidden="1" customWidth="1"/>
    <col min="98" max="98" width="13.7109375" hidden="1" customWidth="1"/>
    <col min="99" max="99" width="12.28515625" hidden="1" customWidth="1"/>
    <col min="100" max="100" width="13.42578125" hidden="1" customWidth="1"/>
    <col min="101" max="101" width="10.85546875" customWidth="1"/>
    <col min="102" max="102" width="15" customWidth="1"/>
    <col min="103" max="103" width="16" hidden="1" customWidth="1"/>
    <col min="104" max="105" width="13.7109375" hidden="1" customWidth="1"/>
    <col min="106" max="106" width="14.42578125" hidden="1" customWidth="1"/>
    <col min="107" max="107" width="15.5703125" hidden="1" customWidth="1"/>
    <col min="108" max="110" width="13.5703125" hidden="1" customWidth="1"/>
    <col min="111" max="112" width="13.85546875" hidden="1" customWidth="1"/>
    <col min="113" max="113" width="11.42578125" hidden="1" customWidth="1"/>
    <col min="114" max="114" width="13.7109375" hidden="1" customWidth="1"/>
    <col min="115" max="115" width="13.85546875" hidden="1" customWidth="1"/>
    <col min="116" max="116" width="12.28515625" hidden="1" customWidth="1"/>
    <col min="117" max="117" width="13.85546875" hidden="1" customWidth="1"/>
    <col min="118" max="118" width="16.5703125" hidden="1" customWidth="1"/>
    <col min="119" max="119" width="14.42578125" hidden="1" customWidth="1"/>
    <col min="120" max="121" width="14.85546875" hidden="1" customWidth="1"/>
    <col min="122" max="122" width="13.5703125" hidden="1" customWidth="1"/>
  </cols>
  <sheetData>
    <row r="1" spans="1:122" ht="18" customHeight="1" x14ac:dyDescent="0.3">
      <c r="C1" s="202" t="s">
        <v>560</v>
      </c>
      <c r="D1" s="203"/>
      <c r="E1" s="203"/>
      <c r="F1" s="204"/>
      <c r="G1" s="170"/>
      <c r="H1" s="170"/>
      <c r="I1" s="170"/>
      <c r="J1" s="170"/>
      <c r="K1" s="170"/>
      <c r="L1" s="170"/>
      <c r="M1" s="259" t="s">
        <v>549</v>
      </c>
      <c r="N1" s="259" t="s">
        <v>549</v>
      </c>
      <c r="O1" s="259" t="s">
        <v>549</v>
      </c>
      <c r="P1" s="259" t="s">
        <v>549</v>
      </c>
      <c r="Q1" s="259" t="s">
        <v>549</v>
      </c>
      <c r="R1" s="259" t="s">
        <v>549</v>
      </c>
      <c r="S1" s="259" t="s">
        <v>549</v>
      </c>
      <c r="T1" s="259" t="s">
        <v>549</v>
      </c>
      <c r="U1" s="259" t="s">
        <v>549</v>
      </c>
      <c r="V1" s="259" t="s">
        <v>549</v>
      </c>
      <c r="W1" s="259" t="s">
        <v>549</v>
      </c>
      <c r="X1" s="259" t="s">
        <v>549</v>
      </c>
      <c r="Y1" s="259" t="s">
        <v>549</v>
      </c>
      <c r="Z1" s="259" t="s">
        <v>549</v>
      </c>
      <c r="AA1" s="259" t="s">
        <v>549</v>
      </c>
      <c r="AB1" s="259" t="s">
        <v>549</v>
      </c>
      <c r="AC1" s="259" t="s">
        <v>549</v>
      </c>
      <c r="AD1" s="259" t="s">
        <v>549</v>
      </c>
      <c r="AE1" s="259" t="s">
        <v>549</v>
      </c>
      <c r="AF1" s="259" t="s">
        <v>549</v>
      </c>
      <c r="AG1" s="259" t="s">
        <v>549</v>
      </c>
      <c r="AI1" s="262" t="s">
        <v>561</v>
      </c>
      <c r="AJ1" s="262"/>
      <c r="AK1" s="262" t="s">
        <v>561</v>
      </c>
      <c r="AL1" s="262"/>
      <c r="AM1" s="262" t="s">
        <v>561</v>
      </c>
      <c r="AN1" s="262"/>
      <c r="AO1" s="262" t="s">
        <v>561</v>
      </c>
      <c r="AP1" s="262"/>
      <c r="AQ1" s="262" t="s">
        <v>561</v>
      </c>
      <c r="AR1" s="262"/>
      <c r="AS1" s="262" t="s">
        <v>561</v>
      </c>
      <c r="AT1" s="262"/>
      <c r="AU1" s="262" t="s">
        <v>561</v>
      </c>
      <c r="AV1" s="262"/>
      <c r="AW1" s="262" t="s">
        <v>561</v>
      </c>
      <c r="AX1" s="262"/>
      <c r="AY1" s="262" t="s">
        <v>561</v>
      </c>
      <c r="AZ1" s="262"/>
      <c r="BA1" s="262" t="s">
        <v>561</v>
      </c>
      <c r="BB1" s="262"/>
      <c r="BC1" s="262" t="s">
        <v>561</v>
      </c>
      <c r="BD1" s="262"/>
      <c r="BE1" s="263" t="s">
        <v>563</v>
      </c>
      <c r="BF1" s="264"/>
      <c r="BG1" s="167"/>
      <c r="BH1" s="174" t="s">
        <v>556</v>
      </c>
      <c r="BI1" s="175"/>
      <c r="BJ1" s="175"/>
      <c r="BK1" s="175"/>
      <c r="BL1" s="175"/>
      <c r="BM1" s="175"/>
      <c r="BN1" s="175"/>
      <c r="BO1" s="175"/>
      <c r="BP1" s="175"/>
      <c r="BQ1" s="175"/>
      <c r="BR1" s="175"/>
      <c r="BS1" s="175"/>
      <c r="BT1" s="175"/>
      <c r="BU1" s="175"/>
      <c r="BV1" s="175"/>
      <c r="BW1" s="175"/>
      <c r="BX1" s="175"/>
      <c r="BY1" s="175"/>
      <c r="BZ1" s="175"/>
      <c r="CA1" s="262" t="s">
        <v>564</v>
      </c>
      <c r="CB1" s="262"/>
      <c r="CC1" s="175"/>
      <c r="CD1" s="175"/>
      <c r="CE1" s="175"/>
      <c r="CF1" s="175"/>
      <c r="CG1" s="175"/>
      <c r="CH1" s="175"/>
      <c r="CI1" s="175"/>
      <c r="CJ1" s="175"/>
      <c r="CK1" s="175"/>
      <c r="CL1" s="175"/>
      <c r="CM1" s="175"/>
      <c r="CN1" s="175"/>
      <c r="CO1" s="175"/>
      <c r="CP1" s="175"/>
      <c r="CQ1" s="175"/>
      <c r="CR1" s="175"/>
      <c r="CS1" s="175"/>
      <c r="CT1" s="175"/>
      <c r="CU1" s="175"/>
      <c r="CV1" s="176"/>
      <c r="CW1" s="267" t="s">
        <v>565</v>
      </c>
      <c r="CX1" s="268"/>
      <c r="CY1" s="267" t="s">
        <v>565</v>
      </c>
      <c r="CZ1" s="268"/>
      <c r="DA1" s="267" t="s">
        <v>565</v>
      </c>
      <c r="DB1" s="268"/>
      <c r="DC1" s="267" t="s">
        <v>565</v>
      </c>
      <c r="DD1" s="268"/>
      <c r="DE1" s="267" t="s">
        <v>565</v>
      </c>
      <c r="DF1" s="268"/>
      <c r="DG1" s="267" t="s">
        <v>565</v>
      </c>
      <c r="DH1" s="268"/>
      <c r="DI1" s="267" t="s">
        <v>565</v>
      </c>
      <c r="DJ1" s="268"/>
      <c r="DK1" s="267" t="s">
        <v>565</v>
      </c>
      <c r="DL1" s="268"/>
      <c r="DM1" s="267" t="s">
        <v>565</v>
      </c>
      <c r="DN1" s="268"/>
      <c r="DO1" s="267" t="s">
        <v>565</v>
      </c>
      <c r="DP1" s="268"/>
      <c r="DQ1" s="267" t="s">
        <v>565</v>
      </c>
      <c r="DR1" s="268"/>
    </row>
    <row r="2" spans="1:122" ht="15.6" customHeight="1" x14ac:dyDescent="0.25">
      <c r="A2" s="217" t="s">
        <v>555</v>
      </c>
      <c r="B2" s="200" t="s">
        <v>554</v>
      </c>
      <c r="C2" s="218" t="s">
        <v>553</v>
      </c>
      <c r="D2" s="217" t="s">
        <v>552</v>
      </c>
      <c r="E2" s="220" t="s">
        <v>551</v>
      </c>
      <c r="F2" s="200" t="s">
        <v>550</v>
      </c>
      <c r="G2" s="165"/>
      <c r="H2" s="165"/>
      <c r="I2" s="165"/>
      <c r="J2" s="165"/>
      <c r="K2" s="165"/>
      <c r="L2" s="165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5"/>
      <c r="BF2" s="266"/>
      <c r="BG2" s="161"/>
      <c r="BH2" s="161" t="s">
        <v>547</v>
      </c>
      <c r="BI2" s="177"/>
      <c r="BJ2" s="177"/>
      <c r="BK2" s="177"/>
      <c r="BL2" s="177"/>
      <c r="BM2" s="177"/>
      <c r="BN2" s="177"/>
      <c r="BO2" s="177"/>
      <c r="BP2" s="177"/>
      <c r="BQ2" s="178"/>
      <c r="BR2" s="161" t="s">
        <v>547</v>
      </c>
      <c r="BS2" s="177"/>
      <c r="BT2" s="177"/>
      <c r="BU2" s="177"/>
      <c r="BV2" s="177"/>
      <c r="BW2" s="177"/>
      <c r="BX2" s="177"/>
      <c r="BY2" s="177"/>
      <c r="BZ2" s="178"/>
      <c r="CA2" s="262"/>
      <c r="CB2" s="262"/>
      <c r="CC2" s="158"/>
      <c r="CD2" s="179" t="s">
        <v>545</v>
      </c>
      <c r="CE2" s="157"/>
      <c r="CF2" s="157"/>
      <c r="CG2" s="157"/>
      <c r="CH2" s="157"/>
      <c r="CI2" s="157"/>
      <c r="CJ2" s="157"/>
      <c r="CK2" s="157"/>
      <c r="CL2" s="157"/>
      <c r="CM2" s="157"/>
      <c r="CN2" s="157"/>
      <c r="CO2" s="157"/>
      <c r="CP2" s="179" t="s">
        <v>545</v>
      </c>
      <c r="CQ2" s="157"/>
      <c r="CR2" s="157"/>
      <c r="CS2" s="157"/>
      <c r="CT2" s="157"/>
      <c r="CU2" s="157"/>
      <c r="CV2" s="180"/>
      <c r="CW2" s="269"/>
      <c r="CX2" s="270"/>
      <c r="CY2" s="269"/>
      <c r="CZ2" s="270"/>
      <c r="DA2" s="269"/>
      <c r="DB2" s="270"/>
      <c r="DC2" s="269"/>
      <c r="DD2" s="270"/>
      <c r="DE2" s="269"/>
      <c r="DF2" s="270"/>
      <c r="DG2" s="269"/>
      <c r="DH2" s="270"/>
      <c r="DI2" s="269"/>
      <c r="DJ2" s="270"/>
      <c r="DK2" s="269"/>
      <c r="DL2" s="270"/>
      <c r="DM2" s="269"/>
      <c r="DN2" s="270"/>
      <c r="DO2" s="269"/>
      <c r="DP2" s="270"/>
      <c r="DQ2" s="269"/>
      <c r="DR2" s="270"/>
    </row>
    <row r="3" spans="1:122" ht="43.5" customHeight="1" x14ac:dyDescent="0.25">
      <c r="A3" s="217"/>
      <c r="B3" s="201"/>
      <c r="C3" s="219"/>
      <c r="D3" s="217"/>
      <c r="E3" s="221"/>
      <c r="F3" s="201"/>
      <c r="G3" s="155" t="s">
        <v>546</v>
      </c>
      <c r="H3" s="155" t="s">
        <v>545</v>
      </c>
      <c r="I3" s="155" t="s">
        <v>544</v>
      </c>
      <c r="J3" s="155" t="s">
        <v>543</v>
      </c>
      <c r="K3" s="155" t="s">
        <v>542</v>
      </c>
      <c r="L3" s="155" t="s">
        <v>541</v>
      </c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I3" s="172" t="s">
        <v>539</v>
      </c>
      <c r="AJ3" s="172" t="s">
        <v>562</v>
      </c>
      <c r="AK3" s="172" t="s">
        <v>539</v>
      </c>
      <c r="AL3" s="172" t="s">
        <v>562</v>
      </c>
      <c r="AM3" s="172" t="s">
        <v>539</v>
      </c>
      <c r="AN3" s="172" t="s">
        <v>562</v>
      </c>
      <c r="AO3" s="172" t="s">
        <v>539</v>
      </c>
      <c r="AP3" s="172" t="s">
        <v>562</v>
      </c>
      <c r="AQ3" s="172" t="s">
        <v>539</v>
      </c>
      <c r="AR3" s="172" t="s">
        <v>562</v>
      </c>
      <c r="AS3" s="172" t="s">
        <v>539</v>
      </c>
      <c r="AT3" s="172" t="s">
        <v>562</v>
      </c>
      <c r="AU3" s="172" t="s">
        <v>539</v>
      </c>
      <c r="AV3" s="172" t="s">
        <v>562</v>
      </c>
      <c r="AW3" s="172" t="s">
        <v>539</v>
      </c>
      <c r="AX3" s="172" t="s">
        <v>562</v>
      </c>
      <c r="AY3" s="172" t="s">
        <v>539</v>
      </c>
      <c r="AZ3" s="172" t="s">
        <v>562</v>
      </c>
      <c r="BA3" s="172" t="s">
        <v>539</v>
      </c>
      <c r="BB3" s="172" t="s">
        <v>562</v>
      </c>
      <c r="BC3" s="172" t="s">
        <v>539</v>
      </c>
      <c r="BD3" s="172" t="s">
        <v>562</v>
      </c>
      <c r="BE3" s="173" t="s">
        <v>539</v>
      </c>
      <c r="BF3" s="173" t="s">
        <v>562</v>
      </c>
      <c r="BG3" s="147" t="s">
        <v>537</v>
      </c>
      <c r="BH3" s="147" t="s">
        <v>536</v>
      </c>
      <c r="BI3" s="147" t="s">
        <v>535</v>
      </c>
      <c r="BJ3" s="147" t="s">
        <v>534</v>
      </c>
      <c r="BK3" s="147" t="s">
        <v>533</v>
      </c>
      <c r="BL3" s="147" t="s">
        <v>532</v>
      </c>
      <c r="BM3" s="147" t="s">
        <v>531</v>
      </c>
      <c r="BN3" s="147" t="s">
        <v>530</v>
      </c>
      <c r="BO3" s="147" t="s">
        <v>529</v>
      </c>
      <c r="BP3" s="147" t="s">
        <v>528</v>
      </c>
      <c r="BQ3" s="147" t="s">
        <v>527</v>
      </c>
      <c r="BR3" s="147" t="s">
        <v>526</v>
      </c>
      <c r="BS3" s="147" t="s">
        <v>525</v>
      </c>
      <c r="BT3" s="147" t="s">
        <v>524</v>
      </c>
      <c r="BU3" s="147" t="s">
        <v>523</v>
      </c>
      <c r="BV3" s="147" t="str">
        <f>+AZ3</f>
        <v>$</v>
      </c>
      <c r="BW3" s="147" t="s">
        <v>522</v>
      </c>
      <c r="BX3" s="147" t="s">
        <v>521</v>
      </c>
      <c r="BY3" s="147" t="s">
        <v>520</v>
      </c>
      <c r="BZ3" s="147" t="s">
        <v>519</v>
      </c>
      <c r="CA3" s="172" t="s">
        <v>539</v>
      </c>
      <c r="CB3" s="172" t="s">
        <v>562</v>
      </c>
      <c r="CC3" s="150" t="s">
        <v>537</v>
      </c>
      <c r="CD3" s="150" t="s">
        <v>536</v>
      </c>
      <c r="CE3" s="150" t="s">
        <v>535</v>
      </c>
      <c r="CF3" s="150" t="s">
        <v>534</v>
      </c>
      <c r="CG3" s="150" t="s">
        <v>533</v>
      </c>
      <c r="CH3" s="150" t="s">
        <v>532</v>
      </c>
      <c r="CI3" s="150" t="s">
        <v>531</v>
      </c>
      <c r="CJ3" s="150" t="s">
        <v>530</v>
      </c>
      <c r="CK3" s="150" t="s">
        <v>529</v>
      </c>
      <c r="CL3" s="150" t="s">
        <v>528</v>
      </c>
      <c r="CM3" s="150" t="s">
        <v>527</v>
      </c>
      <c r="CN3" s="150" t="s">
        <v>526</v>
      </c>
      <c r="CO3" s="150" t="s">
        <v>525</v>
      </c>
      <c r="CP3" s="150" t="s">
        <v>524</v>
      </c>
      <c r="CQ3" s="150" t="s">
        <v>523</v>
      </c>
      <c r="CR3" s="150" t="str">
        <f>+BV3</f>
        <v>$</v>
      </c>
      <c r="CS3" s="150" t="s">
        <v>522</v>
      </c>
      <c r="CT3" s="150" t="s">
        <v>521</v>
      </c>
      <c r="CU3" s="150" t="s">
        <v>520</v>
      </c>
      <c r="CV3" s="150" t="s">
        <v>519</v>
      </c>
      <c r="CW3" s="173" t="s">
        <v>539</v>
      </c>
      <c r="CX3" s="173" t="s">
        <v>562</v>
      </c>
      <c r="CY3" s="173" t="s">
        <v>539</v>
      </c>
      <c r="CZ3" s="173" t="s">
        <v>562</v>
      </c>
      <c r="DA3" s="173" t="s">
        <v>539</v>
      </c>
      <c r="DB3" s="173" t="s">
        <v>562</v>
      </c>
      <c r="DC3" s="173" t="s">
        <v>539</v>
      </c>
      <c r="DD3" s="173" t="s">
        <v>562</v>
      </c>
      <c r="DE3" s="173" t="s">
        <v>539</v>
      </c>
      <c r="DF3" s="173" t="s">
        <v>562</v>
      </c>
      <c r="DG3" s="173" t="s">
        <v>539</v>
      </c>
      <c r="DH3" s="173" t="s">
        <v>562</v>
      </c>
      <c r="DI3" s="173" t="s">
        <v>539</v>
      </c>
      <c r="DJ3" s="173" t="s">
        <v>562</v>
      </c>
      <c r="DK3" s="173" t="s">
        <v>539</v>
      </c>
      <c r="DL3" s="173" t="s">
        <v>562</v>
      </c>
      <c r="DM3" s="173" t="s">
        <v>539</v>
      </c>
      <c r="DN3" s="173" t="s">
        <v>562</v>
      </c>
      <c r="DO3" s="173" t="s">
        <v>539</v>
      </c>
      <c r="DP3" s="173" t="s">
        <v>562</v>
      </c>
      <c r="DQ3" s="173" t="s">
        <v>539</v>
      </c>
      <c r="DR3" s="173" t="s">
        <v>562</v>
      </c>
    </row>
    <row r="4" spans="1:122" ht="53.25" customHeight="1" x14ac:dyDescent="0.25">
      <c r="A4" s="225" t="s">
        <v>518</v>
      </c>
      <c r="B4" s="146" t="s">
        <v>517</v>
      </c>
      <c r="C4" s="82" t="s">
        <v>516</v>
      </c>
      <c r="D4" s="81" t="s">
        <v>515</v>
      </c>
      <c r="E4" s="97">
        <v>510</v>
      </c>
      <c r="F4" s="78" t="s">
        <v>428</v>
      </c>
      <c r="G4" s="227">
        <v>100000000</v>
      </c>
      <c r="H4" s="79">
        <f t="shared" ref="H4:H33" si="0">+CB4</f>
        <v>6000000</v>
      </c>
      <c r="I4" s="79">
        <f t="shared" ref="I4:I33" si="1">M4-H4</f>
        <v>9000000</v>
      </c>
      <c r="J4" s="227" t="s">
        <v>514</v>
      </c>
      <c r="K4" s="227" t="s">
        <v>513</v>
      </c>
      <c r="L4" s="227" t="s">
        <v>512</v>
      </c>
      <c r="M4" s="75">
        <f t="shared" ref="M4:M33" si="2">SUM(N4:AG4)</f>
        <v>15000000</v>
      </c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>
        <v>15000000</v>
      </c>
      <c r="AB4" s="75"/>
      <c r="AC4" s="75"/>
      <c r="AD4" s="75"/>
      <c r="AE4" s="75"/>
      <c r="AF4" s="75"/>
      <c r="AG4" s="75"/>
      <c r="AH4" s="145"/>
      <c r="AI4" s="25">
        <f t="shared" ref="AI4:AI35" si="3">+AJ4/M4</f>
        <v>0.4</v>
      </c>
      <c r="AJ4" s="75">
        <f t="shared" ref="AJ4:AJ33" si="4">SUM(AK4:BD4)</f>
        <v>6000000</v>
      </c>
      <c r="AK4" s="144"/>
      <c r="AL4" s="30"/>
      <c r="AM4" s="30"/>
      <c r="AN4" s="30"/>
      <c r="AO4" s="30"/>
      <c r="AP4" s="24"/>
      <c r="AQ4" s="24"/>
      <c r="AR4" s="24"/>
      <c r="AS4" s="24"/>
      <c r="AT4" s="24"/>
      <c r="AU4" s="24"/>
      <c r="AV4" s="24"/>
      <c r="AW4" s="24"/>
      <c r="AX4" s="24">
        <f>+'[1]AGOSTO 2015'!$W$1944</f>
        <v>6000000</v>
      </c>
      <c r="AY4" s="24"/>
      <c r="AZ4" s="24"/>
      <c r="BA4" s="24"/>
      <c r="BB4" s="24"/>
      <c r="BC4" s="24"/>
      <c r="BD4" s="24"/>
      <c r="BE4" s="25">
        <f t="shared" ref="BE4:BE20" si="5">1-AI4</f>
        <v>0.6</v>
      </c>
      <c r="BF4" s="75">
        <f t="shared" ref="BF4:BF33" si="6">SUM(BG4:BZ4)</f>
        <v>9000000</v>
      </c>
      <c r="BG4" s="75">
        <f t="shared" ref="BG4:BG33" si="7">+N4-AK4</f>
        <v>0</v>
      </c>
      <c r="BH4" s="75">
        <f t="shared" ref="BH4:BH18" si="8">+O4</f>
        <v>0</v>
      </c>
      <c r="BI4" s="75"/>
      <c r="BJ4" s="75">
        <f t="shared" ref="BJ4:BJ33" si="9">Q4-AN4</f>
        <v>0</v>
      </c>
      <c r="BK4" s="75"/>
      <c r="BL4" s="75">
        <f t="shared" ref="BL4:BL33" si="10">+S4-AP4</f>
        <v>0</v>
      </c>
      <c r="BM4" s="75">
        <f t="shared" ref="BM4:BM33" si="11">+T4-AQ4</f>
        <v>0</v>
      </c>
      <c r="BN4" s="75"/>
      <c r="BO4" s="75">
        <f t="shared" ref="BO4:BX4" si="12">+V4-AS4</f>
        <v>0</v>
      </c>
      <c r="BP4" s="75">
        <f t="shared" si="12"/>
        <v>0</v>
      </c>
      <c r="BQ4" s="75">
        <f t="shared" si="12"/>
        <v>0</v>
      </c>
      <c r="BR4" s="75">
        <f t="shared" si="12"/>
        <v>0</v>
      </c>
      <c r="BS4" s="75">
        <f t="shared" si="12"/>
        <v>0</v>
      </c>
      <c r="BT4" s="75">
        <f t="shared" si="12"/>
        <v>9000000</v>
      </c>
      <c r="BU4" s="75">
        <f t="shared" si="12"/>
        <v>0</v>
      </c>
      <c r="BV4" s="75">
        <f t="shared" si="12"/>
        <v>0</v>
      </c>
      <c r="BW4" s="75">
        <f t="shared" si="12"/>
        <v>0</v>
      </c>
      <c r="BX4" s="75">
        <f t="shared" si="12"/>
        <v>0</v>
      </c>
      <c r="BY4" s="75"/>
      <c r="BZ4" s="75">
        <f t="shared" ref="BZ4:BZ33" si="13">+AG4-BD4</f>
        <v>0</v>
      </c>
      <c r="CA4" s="25">
        <f t="shared" ref="CA4:CA35" si="14">+CB4/M4</f>
        <v>0.4</v>
      </c>
      <c r="CB4" s="75">
        <f t="shared" ref="CB4:CB33" si="15">SUM(CC4:CV4)</f>
        <v>6000000</v>
      </c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>
        <f>+'[1]AGOSTO 2015'!$H$1942</f>
        <v>6000000</v>
      </c>
      <c r="CQ4" s="75"/>
      <c r="CR4" s="75"/>
      <c r="CS4" s="75"/>
      <c r="CT4" s="75"/>
      <c r="CU4" s="75"/>
      <c r="CV4" s="75"/>
      <c r="CW4" s="25">
        <f t="shared" ref="CW4:CW35" si="16">1-CA4</f>
        <v>0.6</v>
      </c>
      <c r="CX4" s="75">
        <f t="shared" ref="CX4:CX33" si="17">SUM(CY4:DR4)</f>
        <v>9000000</v>
      </c>
      <c r="CY4" s="75">
        <f t="shared" ref="CY4:CY33" si="18">N4-CC4</f>
        <v>0</v>
      </c>
      <c r="CZ4" s="75">
        <f t="shared" ref="CZ4:CZ33" si="19">O4-CD4</f>
        <v>0</v>
      </c>
      <c r="DA4" s="75"/>
      <c r="DB4" s="75">
        <f t="shared" ref="DB4:DB32" si="20">Q4-CF4</f>
        <v>0</v>
      </c>
      <c r="DC4" s="75">
        <f t="shared" ref="DC4:DC32" si="21">R4-CG4</f>
        <v>0</v>
      </c>
      <c r="DD4" s="75">
        <f t="shared" ref="DD4:DD32" si="22">S4-CH4</f>
        <v>0</v>
      </c>
      <c r="DE4" s="75">
        <f t="shared" ref="DE4:DE32" si="23">T4-CI4</f>
        <v>0</v>
      </c>
      <c r="DF4" s="75"/>
      <c r="DG4" s="75">
        <f t="shared" ref="DG4:DG33" si="24">+V4-CK4</f>
        <v>0</v>
      </c>
      <c r="DH4" s="75">
        <f t="shared" ref="DH4:DH33" si="25">+W4-CL4</f>
        <v>0</v>
      </c>
      <c r="DI4" s="75"/>
      <c r="DJ4" s="75">
        <f t="shared" ref="DJ4:DJ33" si="26">Y4-CN4</f>
        <v>0</v>
      </c>
      <c r="DK4" s="75">
        <f t="shared" ref="DK4:DK33" si="27">Z4-CO4</f>
        <v>0</v>
      </c>
      <c r="DL4" s="75">
        <f t="shared" ref="DL4:DL33" si="28">AA4-CP4</f>
        <v>9000000</v>
      </c>
      <c r="DM4" s="75">
        <f t="shared" ref="DM4:DM33" si="29">+AB4-CQ4</f>
        <v>0</v>
      </c>
      <c r="DN4" s="75">
        <f t="shared" ref="DN4:DN33" si="30">+AC4-CR4</f>
        <v>0</v>
      </c>
      <c r="DO4" s="75">
        <f t="shared" ref="DO4:DO33" si="31">+AD4-CS4</f>
        <v>0</v>
      </c>
      <c r="DP4" s="75">
        <f t="shared" ref="DP4:DP33" si="32">+AE4-CT4</f>
        <v>0</v>
      </c>
      <c r="DQ4" s="75"/>
      <c r="DR4" s="75">
        <f t="shared" ref="DR4:DR33" si="33">+AG4-CV4</f>
        <v>0</v>
      </c>
    </row>
    <row r="5" spans="1:122" ht="62.25" customHeight="1" x14ac:dyDescent="0.25">
      <c r="A5" s="226"/>
      <c r="B5" s="134"/>
      <c r="C5" s="82" t="s">
        <v>511</v>
      </c>
      <c r="D5" s="81" t="s">
        <v>510</v>
      </c>
      <c r="E5" s="97">
        <v>510</v>
      </c>
      <c r="F5" s="78" t="s">
        <v>428</v>
      </c>
      <c r="G5" s="228"/>
      <c r="H5" s="79">
        <f t="shared" si="0"/>
        <v>0</v>
      </c>
      <c r="I5" s="79">
        <f t="shared" si="1"/>
        <v>10000000</v>
      </c>
      <c r="J5" s="228"/>
      <c r="K5" s="228"/>
      <c r="L5" s="228"/>
      <c r="M5" s="194">
        <f t="shared" si="2"/>
        <v>10000000</v>
      </c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>
        <v>10000000</v>
      </c>
      <c r="AB5" s="194"/>
      <c r="AC5" s="194"/>
      <c r="AD5" s="194"/>
      <c r="AE5" s="194"/>
      <c r="AF5" s="194"/>
      <c r="AG5" s="194"/>
      <c r="AH5" s="195"/>
      <c r="AI5" s="196">
        <f t="shared" si="3"/>
        <v>0</v>
      </c>
      <c r="AJ5" s="194">
        <f t="shared" si="4"/>
        <v>0</v>
      </c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6">
        <f t="shared" si="5"/>
        <v>1</v>
      </c>
      <c r="BF5" s="194">
        <f t="shared" si="6"/>
        <v>10000000</v>
      </c>
      <c r="BG5" s="194">
        <f t="shared" si="7"/>
        <v>0</v>
      </c>
      <c r="BH5" s="194">
        <f t="shared" si="8"/>
        <v>0</v>
      </c>
      <c r="BI5" s="194"/>
      <c r="BJ5" s="194">
        <f t="shared" si="9"/>
        <v>0</v>
      </c>
      <c r="BK5" s="194"/>
      <c r="BL5" s="194">
        <f t="shared" si="10"/>
        <v>0</v>
      </c>
      <c r="BM5" s="194">
        <f t="shared" si="11"/>
        <v>0</v>
      </c>
      <c r="BN5" s="194"/>
      <c r="BO5" s="194"/>
      <c r="BP5" s="194"/>
      <c r="BQ5" s="194"/>
      <c r="BR5" s="194">
        <f t="shared" ref="BR5:BR33" si="34">+Y5-AV5</f>
        <v>0</v>
      </c>
      <c r="BS5" s="194">
        <f t="shared" ref="BS5:BS33" si="35">+Z5-AW5</f>
        <v>0</v>
      </c>
      <c r="BT5" s="194">
        <f t="shared" ref="BT5:BT33" si="36">+AA5-AX5</f>
        <v>10000000</v>
      </c>
      <c r="BU5" s="194">
        <f t="shared" ref="BU5:BU33" si="37">+AB5-AY5</f>
        <v>0</v>
      </c>
      <c r="BV5" s="194">
        <f t="shared" ref="BV5:BV33" si="38">+AC5-AZ5</f>
        <v>0</v>
      </c>
      <c r="BW5" s="194">
        <f t="shared" ref="BW5:BW33" si="39">+AD5-BA5</f>
        <v>0</v>
      </c>
      <c r="BX5" s="194"/>
      <c r="BY5" s="194"/>
      <c r="BZ5" s="194">
        <f t="shared" si="13"/>
        <v>0</v>
      </c>
      <c r="CA5" s="196">
        <f t="shared" si="14"/>
        <v>0</v>
      </c>
      <c r="CB5" s="194">
        <f t="shared" si="15"/>
        <v>0</v>
      </c>
      <c r="CC5" s="194"/>
      <c r="CD5" s="194"/>
      <c r="CE5" s="194"/>
      <c r="CF5" s="194"/>
      <c r="CG5" s="194"/>
      <c r="CH5" s="194"/>
      <c r="CI5" s="194"/>
      <c r="CJ5" s="194"/>
      <c r="CK5" s="194"/>
      <c r="CL5" s="194"/>
      <c r="CM5" s="194"/>
      <c r="CN5" s="194"/>
      <c r="CO5" s="194"/>
      <c r="CP5" s="194"/>
      <c r="CQ5" s="194"/>
      <c r="CR5" s="194"/>
      <c r="CS5" s="194"/>
      <c r="CT5" s="194"/>
      <c r="CU5" s="194"/>
      <c r="CV5" s="194"/>
      <c r="CW5" s="196">
        <f t="shared" si="16"/>
        <v>1</v>
      </c>
      <c r="CX5" s="194">
        <f t="shared" si="17"/>
        <v>10000000</v>
      </c>
      <c r="CY5" s="75">
        <f t="shared" si="18"/>
        <v>0</v>
      </c>
      <c r="CZ5" s="75">
        <f t="shared" si="19"/>
        <v>0</v>
      </c>
      <c r="DA5" s="75"/>
      <c r="DB5" s="75">
        <f t="shared" si="20"/>
        <v>0</v>
      </c>
      <c r="DC5" s="75">
        <f t="shared" si="21"/>
        <v>0</v>
      </c>
      <c r="DD5" s="75">
        <f t="shared" si="22"/>
        <v>0</v>
      </c>
      <c r="DE5" s="75">
        <f t="shared" si="23"/>
        <v>0</v>
      </c>
      <c r="DF5" s="75"/>
      <c r="DG5" s="75">
        <f t="shared" si="24"/>
        <v>0</v>
      </c>
      <c r="DH5" s="75">
        <f t="shared" si="25"/>
        <v>0</v>
      </c>
      <c r="DI5" s="75"/>
      <c r="DJ5" s="75">
        <f t="shared" si="26"/>
        <v>0</v>
      </c>
      <c r="DK5" s="75">
        <f t="shared" si="27"/>
        <v>0</v>
      </c>
      <c r="DL5" s="75">
        <f t="shared" si="28"/>
        <v>10000000</v>
      </c>
      <c r="DM5" s="75">
        <f t="shared" si="29"/>
        <v>0</v>
      </c>
      <c r="DN5" s="75">
        <f t="shared" si="30"/>
        <v>0</v>
      </c>
      <c r="DO5" s="75">
        <f t="shared" si="31"/>
        <v>0</v>
      </c>
      <c r="DP5" s="75">
        <f t="shared" si="32"/>
        <v>0</v>
      </c>
      <c r="DQ5" s="75"/>
      <c r="DR5" s="75">
        <f t="shared" si="33"/>
        <v>0</v>
      </c>
    </row>
    <row r="6" spans="1:122" ht="61.5" customHeight="1" x14ac:dyDescent="0.25">
      <c r="A6" s="226"/>
      <c r="B6" s="134"/>
      <c r="C6" s="82" t="s">
        <v>509</v>
      </c>
      <c r="D6" s="81" t="s">
        <v>508</v>
      </c>
      <c r="E6" s="127">
        <v>510</v>
      </c>
      <c r="F6" s="78" t="s">
        <v>428</v>
      </c>
      <c r="G6" s="228"/>
      <c r="H6" s="79">
        <f t="shared" si="0"/>
        <v>0</v>
      </c>
      <c r="I6" s="79">
        <f t="shared" si="1"/>
        <v>5000000</v>
      </c>
      <c r="J6" s="228"/>
      <c r="K6" s="228"/>
      <c r="L6" s="228"/>
      <c r="M6" s="194">
        <f t="shared" si="2"/>
        <v>5000000</v>
      </c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4"/>
      <c r="AA6" s="194">
        <v>5000000</v>
      </c>
      <c r="AB6" s="194"/>
      <c r="AC6" s="194"/>
      <c r="AD6" s="194"/>
      <c r="AE6" s="194"/>
      <c r="AF6" s="194"/>
      <c r="AG6" s="194"/>
      <c r="AH6" s="195"/>
      <c r="AI6" s="196">
        <f t="shared" si="3"/>
        <v>0</v>
      </c>
      <c r="AJ6" s="194">
        <f t="shared" si="4"/>
        <v>0</v>
      </c>
      <c r="AK6" s="194"/>
      <c r="AL6" s="194"/>
      <c r="AM6" s="194"/>
      <c r="AN6" s="194"/>
      <c r="AO6" s="194"/>
      <c r="AP6" s="194"/>
      <c r="AQ6" s="194"/>
      <c r="AR6" s="194"/>
      <c r="AS6" s="194"/>
      <c r="AT6" s="194"/>
      <c r="AU6" s="194"/>
      <c r="AV6" s="194"/>
      <c r="AW6" s="194"/>
      <c r="AX6" s="194"/>
      <c r="AY6" s="194"/>
      <c r="AZ6" s="194"/>
      <c r="BA6" s="194"/>
      <c r="BB6" s="194"/>
      <c r="BC6" s="194"/>
      <c r="BD6" s="194"/>
      <c r="BE6" s="196">
        <f t="shared" si="5"/>
        <v>1</v>
      </c>
      <c r="BF6" s="194">
        <f t="shared" si="6"/>
        <v>5000000</v>
      </c>
      <c r="BG6" s="194">
        <f t="shared" si="7"/>
        <v>0</v>
      </c>
      <c r="BH6" s="194">
        <f t="shared" si="8"/>
        <v>0</v>
      </c>
      <c r="BI6" s="194"/>
      <c r="BJ6" s="194">
        <f t="shared" si="9"/>
        <v>0</v>
      </c>
      <c r="BK6" s="194"/>
      <c r="BL6" s="194">
        <f t="shared" si="10"/>
        <v>0</v>
      </c>
      <c r="BM6" s="194">
        <f t="shared" si="11"/>
        <v>0</v>
      </c>
      <c r="BN6" s="194"/>
      <c r="BO6" s="194"/>
      <c r="BP6" s="194"/>
      <c r="BQ6" s="194"/>
      <c r="BR6" s="194">
        <f t="shared" si="34"/>
        <v>0</v>
      </c>
      <c r="BS6" s="194">
        <f t="shared" si="35"/>
        <v>0</v>
      </c>
      <c r="BT6" s="194">
        <f t="shared" si="36"/>
        <v>5000000</v>
      </c>
      <c r="BU6" s="194">
        <f t="shared" si="37"/>
        <v>0</v>
      </c>
      <c r="BV6" s="194">
        <f t="shared" si="38"/>
        <v>0</v>
      </c>
      <c r="BW6" s="194">
        <f t="shared" si="39"/>
        <v>0</v>
      </c>
      <c r="BX6" s="194"/>
      <c r="BY6" s="194"/>
      <c r="BZ6" s="194">
        <f t="shared" si="13"/>
        <v>0</v>
      </c>
      <c r="CA6" s="196">
        <f t="shared" si="14"/>
        <v>0</v>
      </c>
      <c r="CB6" s="194">
        <f t="shared" si="15"/>
        <v>0</v>
      </c>
      <c r="CC6" s="194"/>
      <c r="CD6" s="194"/>
      <c r="CE6" s="194"/>
      <c r="CF6" s="194"/>
      <c r="CG6" s="194"/>
      <c r="CH6" s="194"/>
      <c r="CI6" s="194"/>
      <c r="CJ6" s="194"/>
      <c r="CK6" s="194"/>
      <c r="CL6" s="194"/>
      <c r="CM6" s="194"/>
      <c r="CN6" s="194"/>
      <c r="CO6" s="194"/>
      <c r="CP6" s="194"/>
      <c r="CQ6" s="194"/>
      <c r="CR6" s="194"/>
      <c r="CS6" s="194"/>
      <c r="CT6" s="194"/>
      <c r="CU6" s="194"/>
      <c r="CV6" s="194"/>
      <c r="CW6" s="196">
        <f t="shared" si="16"/>
        <v>1</v>
      </c>
      <c r="CX6" s="194">
        <f t="shared" si="17"/>
        <v>5000000</v>
      </c>
      <c r="CY6" s="75">
        <f t="shared" si="18"/>
        <v>0</v>
      </c>
      <c r="CZ6" s="75">
        <f t="shared" si="19"/>
        <v>0</v>
      </c>
      <c r="DA6" s="75"/>
      <c r="DB6" s="75">
        <f t="shared" si="20"/>
        <v>0</v>
      </c>
      <c r="DC6" s="75">
        <f t="shared" si="21"/>
        <v>0</v>
      </c>
      <c r="DD6" s="75">
        <f t="shared" si="22"/>
        <v>0</v>
      </c>
      <c r="DE6" s="75">
        <f t="shared" si="23"/>
        <v>0</v>
      </c>
      <c r="DF6" s="75"/>
      <c r="DG6" s="75">
        <f t="shared" si="24"/>
        <v>0</v>
      </c>
      <c r="DH6" s="75">
        <f t="shared" si="25"/>
        <v>0</v>
      </c>
      <c r="DI6" s="75"/>
      <c r="DJ6" s="75">
        <f t="shared" si="26"/>
        <v>0</v>
      </c>
      <c r="DK6" s="75">
        <f t="shared" si="27"/>
        <v>0</v>
      </c>
      <c r="DL6" s="75">
        <f t="shared" si="28"/>
        <v>5000000</v>
      </c>
      <c r="DM6" s="75">
        <f t="shared" si="29"/>
        <v>0</v>
      </c>
      <c r="DN6" s="75">
        <f t="shared" si="30"/>
        <v>0</v>
      </c>
      <c r="DO6" s="75">
        <f t="shared" si="31"/>
        <v>0</v>
      </c>
      <c r="DP6" s="75">
        <f t="shared" si="32"/>
        <v>0</v>
      </c>
      <c r="DQ6" s="75"/>
      <c r="DR6" s="75">
        <f t="shared" si="33"/>
        <v>0</v>
      </c>
    </row>
    <row r="7" spans="1:122" ht="51.75" customHeight="1" x14ac:dyDescent="0.25">
      <c r="A7" s="226"/>
      <c r="B7" s="143"/>
      <c r="C7" s="82" t="s">
        <v>507</v>
      </c>
      <c r="D7" s="81" t="s">
        <v>506</v>
      </c>
      <c r="E7" s="142">
        <v>510</v>
      </c>
      <c r="F7" s="78" t="s">
        <v>428</v>
      </c>
      <c r="G7" s="228"/>
      <c r="H7" s="79">
        <f t="shared" si="0"/>
        <v>9996767</v>
      </c>
      <c r="I7" s="79">
        <f t="shared" si="1"/>
        <v>3233</v>
      </c>
      <c r="J7" s="228"/>
      <c r="K7" s="228"/>
      <c r="L7" s="228"/>
      <c r="M7" s="75">
        <f t="shared" si="2"/>
        <v>10000000</v>
      </c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>
        <v>10000000</v>
      </c>
      <c r="AB7" s="75"/>
      <c r="AC7" s="75"/>
      <c r="AD7" s="75"/>
      <c r="AE7" s="75"/>
      <c r="AF7" s="75"/>
      <c r="AG7" s="75"/>
      <c r="AH7" s="141"/>
      <c r="AI7" s="184">
        <f t="shared" si="3"/>
        <v>0.99967669999999997</v>
      </c>
      <c r="AJ7" s="75">
        <f t="shared" si="4"/>
        <v>9996767</v>
      </c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>
        <f>+'[1]AGOSTO 2015'!$W$1960</f>
        <v>9996767</v>
      </c>
      <c r="AY7" s="75"/>
      <c r="AZ7" s="75"/>
      <c r="BA7" s="75"/>
      <c r="BB7" s="75"/>
      <c r="BC7" s="75"/>
      <c r="BD7" s="75"/>
      <c r="BE7" s="184">
        <f t="shared" si="5"/>
        <v>3.2330000000002634E-4</v>
      </c>
      <c r="BF7" s="75">
        <f t="shared" si="6"/>
        <v>3233</v>
      </c>
      <c r="BG7" s="75">
        <f t="shared" si="7"/>
        <v>0</v>
      </c>
      <c r="BH7" s="75">
        <f t="shared" si="8"/>
        <v>0</v>
      </c>
      <c r="BI7" s="75"/>
      <c r="BJ7" s="75">
        <f t="shared" si="9"/>
        <v>0</v>
      </c>
      <c r="BK7" s="75"/>
      <c r="BL7" s="75">
        <f t="shared" si="10"/>
        <v>0</v>
      </c>
      <c r="BM7" s="75">
        <f t="shared" si="11"/>
        <v>0</v>
      </c>
      <c r="BN7" s="75"/>
      <c r="BO7" s="75"/>
      <c r="BP7" s="75"/>
      <c r="BQ7" s="75"/>
      <c r="BR7" s="75">
        <f t="shared" si="34"/>
        <v>0</v>
      </c>
      <c r="BS7" s="75">
        <f t="shared" si="35"/>
        <v>0</v>
      </c>
      <c r="BT7" s="75">
        <f t="shared" si="36"/>
        <v>3233</v>
      </c>
      <c r="BU7" s="75">
        <f t="shared" si="37"/>
        <v>0</v>
      </c>
      <c r="BV7" s="75">
        <f t="shared" si="38"/>
        <v>0</v>
      </c>
      <c r="BW7" s="75">
        <f t="shared" si="39"/>
        <v>0</v>
      </c>
      <c r="BX7" s="75"/>
      <c r="BY7" s="75"/>
      <c r="BZ7" s="75">
        <f t="shared" si="13"/>
        <v>0</v>
      </c>
      <c r="CA7" s="184">
        <f t="shared" si="14"/>
        <v>0.99967669999999997</v>
      </c>
      <c r="CB7" s="75">
        <f t="shared" si="15"/>
        <v>9996767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>
        <f>+'[1]AGOSTO 2015'!$H$1958</f>
        <v>9996767</v>
      </c>
      <c r="CQ7" s="75"/>
      <c r="CR7" s="75"/>
      <c r="CS7" s="75"/>
      <c r="CT7" s="75"/>
      <c r="CU7" s="75"/>
      <c r="CV7" s="75"/>
      <c r="CW7" s="184">
        <f t="shared" si="16"/>
        <v>3.2330000000002634E-4</v>
      </c>
      <c r="CX7" s="75">
        <f t="shared" si="17"/>
        <v>3233</v>
      </c>
      <c r="CY7" s="75">
        <f t="shared" si="18"/>
        <v>0</v>
      </c>
      <c r="CZ7" s="75">
        <f t="shared" si="19"/>
        <v>0</v>
      </c>
      <c r="DA7" s="75"/>
      <c r="DB7" s="75">
        <f t="shared" si="20"/>
        <v>0</v>
      </c>
      <c r="DC7" s="75">
        <f t="shared" si="21"/>
        <v>0</v>
      </c>
      <c r="DD7" s="75">
        <f t="shared" si="22"/>
        <v>0</v>
      </c>
      <c r="DE7" s="75">
        <f t="shared" si="23"/>
        <v>0</v>
      </c>
      <c r="DF7" s="75"/>
      <c r="DG7" s="75">
        <f t="shared" si="24"/>
        <v>0</v>
      </c>
      <c r="DH7" s="75">
        <f t="shared" si="25"/>
        <v>0</v>
      </c>
      <c r="DI7" s="75"/>
      <c r="DJ7" s="75">
        <f t="shared" si="26"/>
        <v>0</v>
      </c>
      <c r="DK7" s="75">
        <f t="shared" si="27"/>
        <v>0</v>
      </c>
      <c r="DL7" s="75">
        <f t="shared" si="28"/>
        <v>3233</v>
      </c>
      <c r="DM7" s="75">
        <f t="shared" si="29"/>
        <v>0</v>
      </c>
      <c r="DN7" s="75">
        <f t="shared" si="30"/>
        <v>0</v>
      </c>
      <c r="DO7" s="75">
        <f t="shared" si="31"/>
        <v>0</v>
      </c>
      <c r="DP7" s="75">
        <f t="shared" si="32"/>
        <v>0</v>
      </c>
      <c r="DQ7" s="75"/>
      <c r="DR7" s="75">
        <f t="shared" si="33"/>
        <v>0</v>
      </c>
    </row>
    <row r="8" spans="1:122" ht="95.25" customHeight="1" x14ac:dyDescent="0.25">
      <c r="A8" s="226"/>
      <c r="B8" s="134"/>
      <c r="C8" s="82" t="s">
        <v>505</v>
      </c>
      <c r="D8" s="81" t="s">
        <v>504</v>
      </c>
      <c r="E8" s="118">
        <v>510</v>
      </c>
      <c r="F8" s="78" t="s">
        <v>428</v>
      </c>
      <c r="G8" s="228"/>
      <c r="H8" s="79">
        <f t="shared" si="0"/>
        <v>0</v>
      </c>
      <c r="I8" s="79">
        <f t="shared" si="1"/>
        <v>25000000</v>
      </c>
      <c r="J8" s="228"/>
      <c r="K8" s="228"/>
      <c r="L8" s="228"/>
      <c r="M8" s="194">
        <f t="shared" si="2"/>
        <v>25000000</v>
      </c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>
        <v>25000000</v>
      </c>
      <c r="AB8" s="194"/>
      <c r="AC8" s="194"/>
      <c r="AD8" s="194"/>
      <c r="AE8" s="194"/>
      <c r="AF8" s="194"/>
      <c r="AG8" s="194"/>
      <c r="AH8" s="195"/>
      <c r="AI8" s="196">
        <f t="shared" si="3"/>
        <v>0</v>
      </c>
      <c r="AJ8" s="194">
        <f t="shared" si="4"/>
        <v>0</v>
      </c>
      <c r="AK8" s="194"/>
      <c r="AL8" s="194"/>
      <c r="AM8" s="194"/>
      <c r="AN8" s="194"/>
      <c r="AO8" s="194"/>
      <c r="AP8" s="194"/>
      <c r="AQ8" s="194"/>
      <c r="AR8" s="194"/>
      <c r="AS8" s="194"/>
      <c r="AT8" s="194"/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6">
        <f t="shared" si="5"/>
        <v>1</v>
      </c>
      <c r="BF8" s="194">
        <f t="shared" si="6"/>
        <v>25000000</v>
      </c>
      <c r="BG8" s="194">
        <f t="shared" si="7"/>
        <v>0</v>
      </c>
      <c r="BH8" s="194">
        <f t="shared" si="8"/>
        <v>0</v>
      </c>
      <c r="BI8" s="194"/>
      <c r="BJ8" s="194">
        <f t="shared" si="9"/>
        <v>0</v>
      </c>
      <c r="BK8" s="194"/>
      <c r="BL8" s="194">
        <f t="shared" si="10"/>
        <v>0</v>
      </c>
      <c r="BM8" s="194">
        <f t="shared" si="11"/>
        <v>0</v>
      </c>
      <c r="BN8" s="194"/>
      <c r="BO8" s="194"/>
      <c r="BP8" s="194"/>
      <c r="BQ8" s="194"/>
      <c r="BR8" s="194">
        <f t="shared" si="34"/>
        <v>0</v>
      </c>
      <c r="BS8" s="194">
        <f t="shared" si="35"/>
        <v>0</v>
      </c>
      <c r="BT8" s="194">
        <f t="shared" si="36"/>
        <v>25000000</v>
      </c>
      <c r="BU8" s="194">
        <f t="shared" si="37"/>
        <v>0</v>
      </c>
      <c r="BV8" s="194">
        <f t="shared" si="38"/>
        <v>0</v>
      </c>
      <c r="BW8" s="194">
        <f t="shared" si="39"/>
        <v>0</v>
      </c>
      <c r="BX8" s="194"/>
      <c r="BY8" s="194"/>
      <c r="BZ8" s="194">
        <f t="shared" si="13"/>
        <v>0</v>
      </c>
      <c r="CA8" s="196">
        <f t="shared" si="14"/>
        <v>0</v>
      </c>
      <c r="CB8" s="194">
        <f t="shared" si="15"/>
        <v>0</v>
      </c>
      <c r="CC8" s="194"/>
      <c r="CD8" s="194"/>
      <c r="CE8" s="194"/>
      <c r="CF8" s="194"/>
      <c r="CG8" s="194"/>
      <c r="CH8" s="194"/>
      <c r="CI8" s="194"/>
      <c r="CJ8" s="194"/>
      <c r="CK8" s="194"/>
      <c r="CL8" s="194"/>
      <c r="CM8" s="194"/>
      <c r="CN8" s="194"/>
      <c r="CO8" s="194"/>
      <c r="CP8" s="194"/>
      <c r="CQ8" s="194"/>
      <c r="CR8" s="194"/>
      <c r="CS8" s="194"/>
      <c r="CT8" s="194"/>
      <c r="CU8" s="194"/>
      <c r="CV8" s="194"/>
      <c r="CW8" s="196">
        <f t="shared" si="16"/>
        <v>1</v>
      </c>
      <c r="CX8" s="194">
        <f t="shared" si="17"/>
        <v>25000000</v>
      </c>
      <c r="CY8" s="75">
        <f t="shared" si="18"/>
        <v>0</v>
      </c>
      <c r="CZ8" s="75">
        <f t="shared" si="19"/>
        <v>0</v>
      </c>
      <c r="DA8" s="75"/>
      <c r="DB8" s="75">
        <f t="shared" si="20"/>
        <v>0</v>
      </c>
      <c r="DC8" s="75">
        <f t="shared" si="21"/>
        <v>0</v>
      </c>
      <c r="DD8" s="75">
        <f t="shared" si="22"/>
        <v>0</v>
      </c>
      <c r="DE8" s="75">
        <f t="shared" si="23"/>
        <v>0</v>
      </c>
      <c r="DF8" s="75"/>
      <c r="DG8" s="75">
        <f t="shared" si="24"/>
        <v>0</v>
      </c>
      <c r="DH8" s="75">
        <f t="shared" si="25"/>
        <v>0</v>
      </c>
      <c r="DI8" s="75"/>
      <c r="DJ8" s="75">
        <f t="shared" si="26"/>
        <v>0</v>
      </c>
      <c r="DK8" s="75">
        <f t="shared" si="27"/>
        <v>0</v>
      </c>
      <c r="DL8" s="75">
        <f t="shared" si="28"/>
        <v>25000000</v>
      </c>
      <c r="DM8" s="75">
        <f t="shared" si="29"/>
        <v>0</v>
      </c>
      <c r="DN8" s="75">
        <f t="shared" si="30"/>
        <v>0</v>
      </c>
      <c r="DO8" s="75">
        <f t="shared" si="31"/>
        <v>0</v>
      </c>
      <c r="DP8" s="75">
        <f t="shared" si="32"/>
        <v>0</v>
      </c>
      <c r="DQ8" s="75"/>
      <c r="DR8" s="75">
        <f t="shared" si="33"/>
        <v>0</v>
      </c>
    </row>
    <row r="9" spans="1:122" ht="57.75" customHeight="1" x14ac:dyDescent="0.25">
      <c r="A9" s="226"/>
      <c r="B9" s="134"/>
      <c r="C9" s="82" t="s">
        <v>503</v>
      </c>
      <c r="D9" s="81" t="s">
        <v>502</v>
      </c>
      <c r="E9" s="97">
        <v>510</v>
      </c>
      <c r="F9" s="78" t="s">
        <v>428</v>
      </c>
      <c r="G9" s="229"/>
      <c r="H9" s="79">
        <f t="shared" si="0"/>
        <v>33527912</v>
      </c>
      <c r="I9" s="79">
        <f t="shared" si="1"/>
        <v>1472088</v>
      </c>
      <c r="J9" s="229"/>
      <c r="K9" s="229"/>
      <c r="L9" s="229"/>
      <c r="M9" s="75">
        <f t="shared" si="2"/>
        <v>35000000</v>
      </c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>
        <v>35000000</v>
      </c>
      <c r="AB9" s="75"/>
      <c r="AC9" s="75"/>
      <c r="AD9" s="75"/>
      <c r="AE9" s="75"/>
      <c r="AF9" s="75"/>
      <c r="AG9" s="75"/>
      <c r="AH9" s="141"/>
      <c r="AI9" s="25">
        <f t="shared" si="3"/>
        <v>0.95794034285714291</v>
      </c>
      <c r="AJ9" s="75">
        <f t="shared" si="4"/>
        <v>33527912</v>
      </c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>
        <f>+'[1]AGOSTO 2015'!$W$1977</f>
        <v>33527912</v>
      </c>
      <c r="AY9" s="75"/>
      <c r="AZ9" s="75"/>
      <c r="BA9" s="75"/>
      <c r="BB9" s="75"/>
      <c r="BC9" s="75"/>
      <c r="BD9" s="75"/>
      <c r="BE9" s="25">
        <f t="shared" si="5"/>
        <v>4.2059657142857088E-2</v>
      </c>
      <c r="BF9" s="75">
        <f t="shared" si="6"/>
        <v>1472088</v>
      </c>
      <c r="BG9" s="75">
        <f t="shared" si="7"/>
        <v>0</v>
      </c>
      <c r="BH9" s="75">
        <f t="shared" si="8"/>
        <v>0</v>
      </c>
      <c r="BI9" s="75"/>
      <c r="BJ9" s="75">
        <f t="shared" si="9"/>
        <v>0</v>
      </c>
      <c r="BK9" s="75"/>
      <c r="BL9" s="75">
        <f t="shared" si="10"/>
        <v>0</v>
      </c>
      <c r="BM9" s="75">
        <f t="shared" si="11"/>
        <v>0</v>
      </c>
      <c r="BN9" s="75"/>
      <c r="BO9" s="75"/>
      <c r="BP9" s="75"/>
      <c r="BQ9" s="75"/>
      <c r="BR9" s="75">
        <f t="shared" si="34"/>
        <v>0</v>
      </c>
      <c r="BS9" s="75">
        <f t="shared" si="35"/>
        <v>0</v>
      </c>
      <c r="BT9" s="75">
        <f t="shared" si="36"/>
        <v>1472088</v>
      </c>
      <c r="BU9" s="75">
        <f t="shared" si="37"/>
        <v>0</v>
      </c>
      <c r="BV9" s="75">
        <f t="shared" si="38"/>
        <v>0</v>
      </c>
      <c r="BW9" s="75">
        <f t="shared" si="39"/>
        <v>0</v>
      </c>
      <c r="BX9" s="75"/>
      <c r="BY9" s="75"/>
      <c r="BZ9" s="75">
        <f t="shared" si="13"/>
        <v>0</v>
      </c>
      <c r="CA9" s="25">
        <f t="shared" si="14"/>
        <v>0.95794034285714291</v>
      </c>
      <c r="CB9" s="75">
        <f t="shared" si="15"/>
        <v>33527912</v>
      </c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>
        <f>+'[1]AGOSTO 2015'!$H$1975</f>
        <v>33527912</v>
      </c>
      <c r="CQ9" s="75"/>
      <c r="CR9" s="75"/>
      <c r="CS9" s="75"/>
      <c r="CT9" s="75"/>
      <c r="CU9" s="75"/>
      <c r="CV9" s="75"/>
      <c r="CW9" s="25">
        <f t="shared" si="16"/>
        <v>4.2059657142857088E-2</v>
      </c>
      <c r="CX9" s="75">
        <f t="shared" si="17"/>
        <v>1472088</v>
      </c>
      <c r="CY9" s="75">
        <f t="shared" si="18"/>
        <v>0</v>
      </c>
      <c r="CZ9" s="75">
        <f t="shared" si="19"/>
        <v>0</v>
      </c>
      <c r="DA9" s="75"/>
      <c r="DB9" s="75">
        <f t="shared" si="20"/>
        <v>0</v>
      </c>
      <c r="DC9" s="75">
        <f t="shared" si="21"/>
        <v>0</v>
      </c>
      <c r="DD9" s="75">
        <f t="shared" si="22"/>
        <v>0</v>
      </c>
      <c r="DE9" s="75">
        <f t="shared" si="23"/>
        <v>0</v>
      </c>
      <c r="DF9" s="75"/>
      <c r="DG9" s="75">
        <f t="shared" si="24"/>
        <v>0</v>
      </c>
      <c r="DH9" s="75">
        <f t="shared" si="25"/>
        <v>0</v>
      </c>
      <c r="DI9" s="75"/>
      <c r="DJ9" s="75">
        <f t="shared" si="26"/>
        <v>0</v>
      </c>
      <c r="DK9" s="75">
        <f t="shared" si="27"/>
        <v>0</v>
      </c>
      <c r="DL9" s="75">
        <f t="shared" si="28"/>
        <v>1472088</v>
      </c>
      <c r="DM9" s="75">
        <f t="shared" si="29"/>
        <v>0</v>
      </c>
      <c r="DN9" s="75">
        <f t="shared" si="30"/>
        <v>0</v>
      </c>
      <c r="DO9" s="75">
        <f t="shared" si="31"/>
        <v>0</v>
      </c>
      <c r="DP9" s="75">
        <f t="shared" si="32"/>
        <v>0</v>
      </c>
      <c r="DQ9" s="75"/>
      <c r="DR9" s="75">
        <f t="shared" si="33"/>
        <v>0</v>
      </c>
    </row>
    <row r="10" spans="1:122" ht="43.5" customHeight="1" x14ac:dyDescent="0.25">
      <c r="A10" s="226"/>
      <c r="B10" s="134" t="s">
        <v>501</v>
      </c>
      <c r="C10" s="82" t="s">
        <v>500</v>
      </c>
      <c r="D10" s="81" t="s">
        <v>499</v>
      </c>
      <c r="E10" s="97">
        <v>510</v>
      </c>
      <c r="F10" s="78" t="s">
        <v>498</v>
      </c>
      <c r="G10" s="227">
        <v>95000000</v>
      </c>
      <c r="H10" s="79">
        <f t="shared" si="0"/>
        <v>2628860</v>
      </c>
      <c r="I10" s="79">
        <f t="shared" si="1"/>
        <v>16371140</v>
      </c>
      <c r="J10" s="227" t="s">
        <v>497</v>
      </c>
      <c r="K10" s="227" t="s">
        <v>496</v>
      </c>
      <c r="L10" s="78"/>
      <c r="M10" s="194">
        <f t="shared" si="2"/>
        <v>19000000</v>
      </c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  <c r="Z10" s="194"/>
      <c r="AA10" s="194"/>
      <c r="AB10" s="194"/>
      <c r="AC10" s="194"/>
      <c r="AD10" s="194"/>
      <c r="AE10" s="194"/>
      <c r="AF10" s="194"/>
      <c r="AG10" s="194">
        <f>5000000+10000000+4000000</f>
        <v>19000000</v>
      </c>
      <c r="AH10" s="91"/>
      <c r="AI10" s="196">
        <f t="shared" si="3"/>
        <v>1</v>
      </c>
      <c r="AJ10" s="194">
        <f t="shared" si="4"/>
        <v>19000000</v>
      </c>
      <c r="AK10" s="194"/>
      <c r="AL10" s="194"/>
      <c r="AM10" s="194"/>
      <c r="AN10" s="194"/>
      <c r="AO10" s="194"/>
      <c r="AP10" s="194"/>
      <c r="AQ10" s="194"/>
      <c r="AR10" s="194"/>
      <c r="AS10" s="194"/>
      <c r="AT10" s="194"/>
      <c r="AU10" s="194"/>
      <c r="AV10" s="194"/>
      <c r="AW10" s="194"/>
      <c r="AX10" s="194"/>
      <c r="AY10" s="194"/>
      <c r="AZ10" s="194"/>
      <c r="BA10" s="194"/>
      <c r="BB10" s="194"/>
      <c r="BC10" s="194"/>
      <c r="BD10" s="194">
        <f>+'[2]JULIO 2015'!$AD$1778</f>
        <v>19000000</v>
      </c>
      <c r="BE10" s="196">
        <f t="shared" si="5"/>
        <v>0</v>
      </c>
      <c r="BF10" s="194">
        <f t="shared" si="6"/>
        <v>0</v>
      </c>
      <c r="BG10" s="194">
        <f t="shared" si="7"/>
        <v>0</v>
      </c>
      <c r="BH10" s="194">
        <f t="shared" si="8"/>
        <v>0</v>
      </c>
      <c r="BI10" s="194"/>
      <c r="BJ10" s="194">
        <f t="shared" si="9"/>
        <v>0</v>
      </c>
      <c r="BK10" s="194"/>
      <c r="BL10" s="194">
        <f t="shared" si="10"/>
        <v>0</v>
      </c>
      <c r="BM10" s="194">
        <f t="shared" si="11"/>
        <v>0</v>
      </c>
      <c r="BN10" s="194"/>
      <c r="BO10" s="194">
        <f>+V10-AS10</f>
        <v>0</v>
      </c>
      <c r="BP10" s="194">
        <f>+W10-AT10</f>
        <v>0</v>
      </c>
      <c r="BQ10" s="194">
        <f>+X10-AU10</f>
        <v>0</v>
      </c>
      <c r="BR10" s="194">
        <f t="shared" si="34"/>
        <v>0</v>
      </c>
      <c r="BS10" s="194">
        <f t="shared" si="35"/>
        <v>0</v>
      </c>
      <c r="BT10" s="194">
        <f t="shared" si="36"/>
        <v>0</v>
      </c>
      <c r="BU10" s="194">
        <f t="shared" si="37"/>
        <v>0</v>
      </c>
      <c r="BV10" s="194">
        <f t="shared" si="38"/>
        <v>0</v>
      </c>
      <c r="BW10" s="194">
        <f t="shared" si="39"/>
        <v>0</v>
      </c>
      <c r="BX10" s="194"/>
      <c r="BY10" s="194"/>
      <c r="BZ10" s="194">
        <f t="shared" si="13"/>
        <v>0</v>
      </c>
      <c r="CA10" s="196">
        <f t="shared" si="14"/>
        <v>0.13836105263157894</v>
      </c>
      <c r="CB10" s="194">
        <f t="shared" si="15"/>
        <v>2628860</v>
      </c>
      <c r="CC10" s="194"/>
      <c r="CD10" s="194"/>
      <c r="CE10" s="194"/>
      <c r="CF10" s="194"/>
      <c r="CG10" s="194"/>
      <c r="CH10" s="194"/>
      <c r="CI10" s="194"/>
      <c r="CJ10" s="194"/>
      <c r="CK10" s="194"/>
      <c r="CL10" s="194"/>
      <c r="CM10" s="194"/>
      <c r="CN10" s="194"/>
      <c r="CO10" s="194"/>
      <c r="CP10" s="194"/>
      <c r="CQ10" s="194"/>
      <c r="CR10" s="194"/>
      <c r="CS10" s="194"/>
      <c r="CT10" s="194"/>
      <c r="CU10" s="194"/>
      <c r="CV10" s="194">
        <f>+'[2]JULIO 2015'!$H$1776</f>
        <v>2628860</v>
      </c>
      <c r="CW10" s="196">
        <f t="shared" si="16"/>
        <v>0.86163894736842106</v>
      </c>
      <c r="CX10" s="194">
        <f t="shared" si="17"/>
        <v>16371140</v>
      </c>
      <c r="CY10" s="75">
        <f t="shared" si="18"/>
        <v>0</v>
      </c>
      <c r="CZ10" s="75">
        <f t="shared" si="19"/>
        <v>0</v>
      </c>
      <c r="DA10" s="75"/>
      <c r="DB10" s="75">
        <f t="shared" si="20"/>
        <v>0</v>
      </c>
      <c r="DC10" s="75">
        <f t="shared" si="21"/>
        <v>0</v>
      </c>
      <c r="DD10" s="75">
        <f t="shared" si="22"/>
        <v>0</v>
      </c>
      <c r="DE10" s="75">
        <f t="shared" si="23"/>
        <v>0</v>
      </c>
      <c r="DF10" s="75"/>
      <c r="DG10" s="75">
        <f t="shared" si="24"/>
        <v>0</v>
      </c>
      <c r="DH10" s="75">
        <f t="shared" si="25"/>
        <v>0</v>
      </c>
      <c r="DI10" s="75"/>
      <c r="DJ10" s="75">
        <f t="shared" si="26"/>
        <v>0</v>
      </c>
      <c r="DK10" s="75">
        <f t="shared" si="27"/>
        <v>0</v>
      </c>
      <c r="DL10" s="75">
        <f t="shared" si="28"/>
        <v>0</v>
      </c>
      <c r="DM10" s="75">
        <f t="shared" si="29"/>
        <v>0</v>
      </c>
      <c r="DN10" s="75">
        <f t="shared" si="30"/>
        <v>0</v>
      </c>
      <c r="DO10" s="75">
        <f t="shared" si="31"/>
        <v>0</v>
      </c>
      <c r="DP10" s="75">
        <f t="shared" si="32"/>
        <v>0</v>
      </c>
      <c r="DQ10" s="75"/>
      <c r="DR10" s="75">
        <f t="shared" si="33"/>
        <v>16371140</v>
      </c>
    </row>
    <row r="11" spans="1:122" ht="51.75" customHeight="1" x14ac:dyDescent="0.25">
      <c r="A11" s="226"/>
      <c r="B11" s="134"/>
      <c r="C11" s="82" t="s">
        <v>495</v>
      </c>
      <c r="D11" s="81" t="s">
        <v>494</v>
      </c>
      <c r="E11" s="97">
        <v>510</v>
      </c>
      <c r="F11" s="78" t="s">
        <v>428</v>
      </c>
      <c r="G11" s="228"/>
      <c r="H11" s="79">
        <f t="shared" si="0"/>
        <v>800000</v>
      </c>
      <c r="I11" s="79">
        <f t="shared" si="1"/>
        <v>14200000</v>
      </c>
      <c r="J11" s="228"/>
      <c r="K11" s="228"/>
      <c r="L11" s="78"/>
      <c r="M11" s="75">
        <f t="shared" si="2"/>
        <v>15000000</v>
      </c>
      <c r="N11" s="75"/>
      <c r="O11" s="75"/>
      <c r="P11" s="75"/>
      <c r="Q11" s="75"/>
      <c r="R11" s="75"/>
      <c r="S11" s="75">
        <f>30000000-15000000</f>
        <v>15000000</v>
      </c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I11" s="25">
        <f t="shared" si="3"/>
        <v>5.3333333333333337E-2</v>
      </c>
      <c r="AJ11" s="75">
        <f t="shared" si="4"/>
        <v>800000</v>
      </c>
      <c r="AK11" s="75"/>
      <c r="AL11" s="75"/>
      <c r="AM11" s="75"/>
      <c r="AN11" s="75"/>
      <c r="AO11" s="75"/>
      <c r="AP11" s="75">
        <f>+'[1]AGOSTO 2015'!$O$2001</f>
        <v>800000</v>
      </c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25">
        <f t="shared" si="5"/>
        <v>0.94666666666666666</v>
      </c>
      <c r="BF11" s="75">
        <f t="shared" si="6"/>
        <v>14200000</v>
      </c>
      <c r="BG11" s="75">
        <f t="shared" si="7"/>
        <v>0</v>
      </c>
      <c r="BH11" s="75">
        <f t="shared" si="8"/>
        <v>0</v>
      </c>
      <c r="BI11" s="75"/>
      <c r="BJ11" s="75">
        <f t="shared" si="9"/>
        <v>0</v>
      </c>
      <c r="BK11" s="75"/>
      <c r="BL11" s="75">
        <f t="shared" si="10"/>
        <v>14200000</v>
      </c>
      <c r="BM11" s="75">
        <f t="shared" si="11"/>
        <v>0</v>
      </c>
      <c r="BN11" s="75"/>
      <c r="BO11" s="75"/>
      <c r="BP11" s="75"/>
      <c r="BQ11" s="75"/>
      <c r="BR11" s="75">
        <f t="shared" si="34"/>
        <v>0</v>
      </c>
      <c r="BS11" s="75">
        <f t="shared" si="35"/>
        <v>0</v>
      </c>
      <c r="BT11" s="75">
        <f t="shared" si="36"/>
        <v>0</v>
      </c>
      <c r="BU11" s="75">
        <f t="shared" si="37"/>
        <v>0</v>
      </c>
      <c r="BV11" s="75">
        <f t="shared" si="38"/>
        <v>0</v>
      </c>
      <c r="BW11" s="75">
        <f t="shared" si="39"/>
        <v>0</v>
      </c>
      <c r="BX11" s="75"/>
      <c r="BY11" s="75"/>
      <c r="BZ11" s="75">
        <f t="shared" si="13"/>
        <v>0</v>
      </c>
      <c r="CA11" s="25">
        <f t="shared" si="14"/>
        <v>5.3333333333333337E-2</v>
      </c>
      <c r="CB11" s="75">
        <f t="shared" si="15"/>
        <v>800000</v>
      </c>
      <c r="CC11" s="75"/>
      <c r="CD11" s="75"/>
      <c r="CE11" s="75"/>
      <c r="CF11" s="75"/>
      <c r="CG11" s="75"/>
      <c r="CH11" s="75">
        <f>+'[1]AGOSTO 2015'!$H$1999</f>
        <v>800000</v>
      </c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25">
        <f t="shared" si="16"/>
        <v>0.94666666666666666</v>
      </c>
      <c r="CX11" s="75">
        <f t="shared" si="17"/>
        <v>14200000</v>
      </c>
      <c r="CY11" s="75">
        <f t="shared" si="18"/>
        <v>0</v>
      </c>
      <c r="CZ11" s="75">
        <f t="shared" si="19"/>
        <v>0</v>
      </c>
      <c r="DA11" s="75"/>
      <c r="DB11" s="75">
        <f t="shared" si="20"/>
        <v>0</v>
      </c>
      <c r="DC11" s="75">
        <f t="shared" si="21"/>
        <v>0</v>
      </c>
      <c r="DD11" s="75">
        <f t="shared" si="22"/>
        <v>14200000</v>
      </c>
      <c r="DE11" s="75">
        <f t="shared" si="23"/>
        <v>0</v>
      </c>
      <c r="DF11" s="75"/>
      <c r="DG11" s="75">
        <f t="shared" si="24"/>
        <v>0</v>
      </c>
      <c r="DH11" s="75">
        <f t="shared" si="25"/>
        <v>0</v>
      </c>
      <c r="DI11" s="75"/>
      <c r="DJ11" s="75">
        <f t="shared" si="26"/>
        <v>0</v>
      </c>
      <c r="DK11" s="75">
        <f t="shared" si="27"/>
        <v>0</v>
      </c>
      <c r="DL11" s="75">
        <f t="shared" si="28"/>
        <v>0</v>
      </c>
      <c r="DM11" s="75">
        <f t="shared" si="29"/>
        <v>0</v>
      </c>
      <c r="DN11" s="75">
        <f t="shared" si="30"/>
        <v>0</v>
      </c>
      <c r="DO11" s="75">
        <f t="shared" si="31"/>
        <v>0</v>
      </c>
      <c r="DP11" s="75">
        <f t="shared" si="32"/>
        <v>0</v>
      </c>
      <c r="DQ11" s="75"/>
      <c r="DR11" s="75">
        <f t="shared" si="33"/>
        <v>0</v>
      </c>
    </row>
    <row r="12" spans="1:122" ht="34.5" customHeight="1" x14ac:dyDescent="0.25">
      <c r="A12" s="226"/>
      <c r="B12" s="134"/>
      <c r="C12" s="82" t="s">
        <v>493</v>
      </c>
      <c r="D12" s="81" t="s">
        <v>492</v>
      </c>
      <c r="E12" s="97">
        <v>510</v>
      </c>
      <c r="F12" s="78" t="s">
        <v>428</v>
      </c>
      <c r="G12" s="228"/>
      <c r="H12" s="79">
        <f t="shared" si="0"/>
        <v>10000000</v>
      </c>
      <c r="I12" s="79">
        <f t="shared" si="1"/>
        <v>0</v>
      </c>
      <c r="J12" s="228"/>
      <c r="K12" s="228"/>
      <c r="L12" s="78"/>
      <c r="M12" s="75">
        <f t="shared" si="2"/>
        <v>10000000</v>
      </c>
      <c r="N12" s="75"/>
      <c r="O12" s="75"/>
      <c r="P12" s="75"/>
      <c r="Q12" s="75"/>
      <c r="R12" s="75"/>
      <c r="S12" s="75">
        <v>10000000</v>
      </c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I12" s="25">
        <f t="shared" si="3"/>
        <v>1</v>
      </c>
      <c r="AJ12" s="75">
        <f t="shared" si="4"/>
        <v>10000000</v>
      </c>
      <c r="AK12" s="75"/>
      <c r="AL12" s="75"/>
      <c r="AM12" s="75"/>
      <c r="AN12" s="75"/>
      <c r="AO12" s="75"/>
      <c r="AP12" s="75">
        <f>+'[3]ABRIL 2015'!$N$1193</f>
        <v>10000000</v>
      </c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25">
        <f t="shared" si="5"/>
        <v>0</v>
      </c>
      <c r="BF12" s="75">
        <f t="shared" si="6"/>
        <v>0</v>
      </c>
      <c r="BG12" s="75">
        <f t="shared" si="7"/>
        <v>0</v>
      </c>
      <c r="BH12" s="75">
        <f t="shared" si="8"/>
        <v>0</v>
      </c>
      <c r="BI12" s="75"/>
      <c r="BJ12" s="75">
        <f t="shared" si="9"/>
        <v>0</v>
      </c>
      <c r="BK12" s="75"/>
      <c r="BL12" s="75">
        <f t="shared" si="10"/>
        <v>0</v>
      </c>
      <c r="BM12" s="75">
        <f t="shared" si="11"/>
        <v>0</v>
      </c>
      <c r="BN12" s="75"/>
      <c r="BO12" s="75"/>
      <c r="BP12" s="75"/>
      <c r="BQ12" s="75"/>
      <c r="BR12" s="75">
        <f t="shared" si="34"/>
        <v>0</v>
      </c>
      <c r="BS12" s="75">
        <f t="shared" si="35"/>
        <v>0</v>
      </c>
      <c r="BT12" s="75">
        <f t="shared" si="36"/>
        <v>0</v>
      </c>
      <c r="BU12" s="75">
        <f t="shared" si="37"/>
        <v>0</v>
      </c>
      <c r="BV12" s="75">
        <f t="shared" si="38"/>
        <v>0</v>
      </c>
      <c r="BW12" s="75">
        <f t="shared" si="39"/>
        <v>0</v>
      </c>
      <c r="BX12" s="75"/>
      <c r="BY12" s="75"/>
      <c r="BZ12" s="75">
        <f t="shared" si="13"/>
        <v>0</v>
      </c>
      <c r="CA12" s="25">
        <f t="shared" si="14"/>
        <v>1</v>
      </c>
      <c r="CB12" s="75">
        <f t="shared" si="15"/>
        <v>10000000</v>
      </c>
      <c r="CC12" s="75"/>
      <c r="CD12" s="75"/>
      <c r="CE12" s="75"/>
      <c r="CF12" s="75"/>
      <c r="CG12" s="75"/>
      <c r="CH12" s="75">
        <f>+'[3]ABRIL 2015'!$H$1194</f>
        <v>10000000</v>
      </c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25">
        <f t="shared" si="16"/>
        <v>0</v>
      </c>
      <c r="CX12" s="75">
        <f t="shared" si="17"/>
        <v>0</v>
      </c>
      <c r="CY12" s="75">
        <f t="shared" si="18"/>
        <v>0</v>
      </c>
      <c r="CZ12" s="75">
        <f t="shared" si="19"/>
        <v>0</v>
      </c>
      <c r="DA12" s="75"/>
      <c r="DB12" s="75">
        <f t="shared" si="20"/>
        <v>0</v>
      </c>
      <c r="DC12" s="75">
        <f t="shared" si="21"/>
        <v>0</v>
      </c>
      <c r="DD12" s="75">
        <f t="shared" si="22"/>
        <v>0</v>
      </c>
      <c r="DE12" s="75">
        <f t="shared" si="23"/>
        <v>0</v>
      </c>
      <c r="DF12" s="75"/>
      <c r="DG12" s="75">
        <f t="shared" si="24"/>
        <v>0</v>
      </c>
      <c r="DH12" s="75">
        <f t="shared" si="25"/>
        <v>0</v>
      </c>
      <c r="DI12" s="75"/>
      <c r="DJ12" s="75">
        <f t="shared" si="26"/>
        <v>0</v>
      </c>
      <c r="DK12" s="75">
        <f t="shared" si="27"/>
        <v>0</v>
      </c>
      <c r="DL12" s="75">
        <f t="shared" si="28"/>
        <v>0</v>
      </c>
      <c r="DM12" s="75">
        <f t="shared" si="29"/>
        <v>0</v>
      </c>
      <c r="DN12" s="75">
        <f t="shared" si="30"/>
        <v>0</v>
      </c>
      <c r="DO12" s="75">
        <f t="shared" si="31"/>
        <v>0</v>
      </c>
      <c r="DP12" s="75">
        <f t="shared" si="32"/>
        <v>0</v>
      </c>
      <c r="DQ12" s="75"/>
      <c r="DR12" s="75">
        <f t="shared" si="33"/>
        <v>0</v>
      </c>
    </row>
    <row r="13" spans="1:122" ht="52.5" customHeight="1" x14ac:dyDescent="0.25">
      <c r="A13" s="226"/>
      <c r="B13" s="134"/>
      <c r="C13" s="82" t="s">
        <v>491</v>
      </c>
      <c r="D13" s="81" t="s">
        <v>490</v>
      </c>
      <c r="E13" s="97">
        <v>510</v>
      </c>
      <c r="F13" s="78" t="s">
        <v>428</v>
      </c>
      <c r="G13" s="228"/>
      <c r="H13" s="79">
        <f t="shared" si="0"/>
        <v>5100000</v>
      </c>
      <c r="I13" s="79">
        <f t="shared" si="1"/>
        <v>24900000</v>
      </c>
      <c r="J13" s="228"/>
      <c r="K13" s="228"/>
      <c r="L13" s="78"/>
      <c r="M13" s="75">
        <f t="shared" si="2"/>
        <v>30000000</v>
      </c>
      <c r="N13" s="75"/>
      <c r="O13" s="75"/>
      <c r="P13" s="75"/>
      <c r="Q13" s="75"/>
      <c r="R13" s="75"/>
      <c r="S13" s="75">
        <v>30000000</v>
      </c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I13" s="25">
        <f t="shared" si="3"/>
        <v>0.22085333333333335</v>
      </c>
      <c r="AJ13" s="75">
        <f t="shared" si="4"/>
        <v>6625600</v>
      </c>
      <c r="AK13" s="75"/>
      <c r="AL13" s="75"/>
      <c r="AM13" s="75"/>
      <c r="AN13" s="75"/>
      <c r="AO13" s="75"/>
      <c r="AP13" s="75">
        <f>+'[1]AGOSTO 2015'!$O$2012</f>
        <v>6625600</v>
      </c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25">
        <f t="shared" si="5"/>
        <v>0.77914666666666665</v>
      </c>
      <c r="BF13" s="75">
        <f t="shared" si="6"/>
        <v>23374400</v>
      </c>
      <c r="BG13" s="75">
        <f t="shared" si="7"/>
        <v>0</v>
      </c>
      <c r="BH13" s="75">
        <f t="shared" si="8"/>
        <v>0</v>
      </c>
      <c r="BI13" s="75"/>
      <c r="BJ13" s="75">
        <f t="shared" si="9"/>
        <v>0</v>
      </c>
      <c r="BK13" s="75"/>
      <c r="BL13" s="75">
        <f t="shared" si="10"/>
        <v>23374400</v>
      </c>
      <c r="BM13" s="75">
        <f t="shared" si="11"/>
        <v>0</v>
      </c>
      <c r="BN13" s="75"/>
      <c r="BO13" s="75"/>
      <c r="BP13" s="75"/>
      <c r="BQ13" s="75"/>
      <c r="BR13" s="75">
        <f t="shared" si="34"/>
        <v>0</v>
      </c>
      <c r="BS13" s="75">
        <f t="shared" si="35"/>
        <v>0</v>
      </c>
      <c r="BT13" s="75">
        <f t="shared" si="36"/>
        <v>0</v>
      </c>
      <c r="BU13" s="75">
        <f t="shared" si="37"/>
        <v>0</v>
      </c>
      <c r="BV13" s="75">
        <f t="shared" si="38"/>
        <v>0</v>
      </c>
      <c r="BW13" s="75">
        <f t="shared" si="39"/>
        <v>0</v>
      </c>
      <c r="BX13" s="75"/>
      <c r="BY13" s="75"/>
      <c r="BZ13" s="75">
        <f t="shared" si="13"/>
        <v>0</v>
      </c>
      <c r="CA13" s="25">
        <f t="shared" si="14"/>
        <v>0.17</v>
      </c>
      <c r="CB13" s="75">
        <f t="shared" si="15"/>
        <v>5100000</v>
      </c>
      <c r="CC13" s="75"/>
      <c r="CD13" s="75"/>
      <c r="CE13" s="75"/>
      <c r="CF13" s="75"/>
      <c r="CG13" s="75"/>
      <c r="CH13" s="75">
        <f>+'[1]AGOSTO 2015'!$H$2010</f>
        <v>5100000</v>
      </c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25">
        <f t="shared" si="16"/>
        <v>0.83</v>
      </c>
      <c r="CX13" s="75">
        <f t="shared" si="17"/>
        <v>24900000</v>
      </c>
      <c r="CY13" s="75">
        <f t="shared" si="18"/>
        <v>0</v>
      </c>
      <c r="CZ13" s="75">
        <f t="shared" si="19"/>
        <v>0</v>
      </c>
      <c r="DA13" s="75"/>
      <c r="DB13" s="75">
        <f t="shared" si="20"/>
        <v>0</v>
      </c>
      <c r="DC13" s="75">
        <f t="shared" si="21"/>
        <v>0</v>
      </c>
      <c r="DD13" s="75">
        <f t="shared" si="22"/>
        <v>24900000</v>
      </c>
      <c r="DE13" s="75">
        <f t="shared" si="23"/>
        <v>0</v>
      </c>
      <c r="DF13" s="75"/>
      <c r="DG13" s="75">
        <f t="shared" si="24"/>
        <v>0</v>
      </c>
      <c r="DH13" s="75">
        <f t="shared" si="25"/>
        <v>0</v>
      </c>
      <c r="DI13" s="75"/>
      <c r="DJ13" s="75">
        <f t="shared" si="26"/>
        <v>0</v>
      </c>
      <c r="DK13" s="75">
        <f t="shared" si="27"/>
        <v>0</v>
      </c>
      <c r="DL13" s="75">
        <f t="shared" si="28"/>
        <v>0</v>
      </c>
      <c r="DM13" s="75">
        <f t="shared" si="29"/>
        <v>0</v>
      </c>
      <c r="DN13" s="75">
        <f t="shared" si="30"/>
        <v>0</v>
      </c>
      <c r="DO13" s="75">
        <f t="shared" si="31"/>
        <v>0</v>
      </c>
      <c r="DP13" s="75">
        <f t="shared" si="32"/>
        <v>0</v>
      </c>
      <c r="DQ13" s="75"/>
      <c r="DR13" s="75">
        <f t="shared" si="33"/>
        <v>0</v>
      </c>
    </row>
    <row r="14" spans="1:122" ht="39" customHeight="1" x14ac:dyDescent="0.25">
      <c r="A14" s="226"/>
      <c r="B14" s="134"/>
      <c r="C14" s="82" t="s">
        <v>489</v>
      </c>
      <c r="D14" s="81" t="s">
        <v>488</v>
      </c>
      <c r="E14" s="97">
        <v>510</v>
      </c>
      <c r="F14" s="78" t="s">
        <v>428</v>
      </c>
      <c r="G14" s="228"/>
      <c r="H14" s="79">
        <f t="shared" si="0"/>
        <v>0</v>
      </c>
      <c r="I14" s="79">
        <f t="shared" si="1"/>
        <v>15000000</v>
      </c>
      <c r="J14" s="228"/>
      <c r="K14" s="228"/>
      <c r="L14" s="78"/>
      <c r="M14" s="75">
        <f t="shared" si="2"/>
        <v>15000000</v>
      </c>
      <c r="N14" s="75"/>
      <c r="O14" s="75"/>
      <c r="P14" s="75"/>
      <c r="Q14" s="75"/>
      <c r="R14" s="75"/>
      <c r="S14" s="75">
        <v>15000000</v>
      </c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I14" s="25">
        <f t="shared" si="3"/>
        <v>0</v>
      </c>
      <c r="AJ14" s="75">
        <f t="shared" si="4"/>
        <v>0</v>
      </c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25">
        <f t="shared" si="5"/>
        <v>1</v>
      </c>
      <c r="BF14" s="75">
        <f t="shared" si="6"/>
        <v>15000000</v>
      </c>
      <c r="BG14" s="75">
        <f t="shared" si="7"/>
        <v>0</v>
      </c>
      <c r="BH14" s="75">
        <f t="shared" si="8"/>
        <v>0</v>
      </c>
      <c r="BI14" s="75"/>
      <c r="BJ14" s="75">
        <f t="shared" si="9"/>
        <v>0</v>
      </c>
      <c r="BK14" s="75"/>
      <c r="BL14" s="75">
        <f t="shared" si="10"/>
        <v>15000000</v>
      </c>
      <c r="BM14" s="75">
        <f t="shared" si="11"/>
        <v>0</v>
      </c>
      <c r="BN14" s="75"/>
      <c r="BO14" s="75"/>
      <c r="BP14" s="75"/>
      <c r="BQ14" s="75"/>
      <c r="BR14" s="75">
        <f t="shared" si="34"/>
        <v>0</v>
      </c>
      <c r="BS14" s="75">
        <f t="shared" si="35"/>
        <v>0</v>
      </c>
      <c r="BT14" s="75">
        <f t="shared" si="36"/>
        <v>0</v>
      </c>
      <c r="BU14" s="75">
        <f t="shared" si="37"/>
        <v>0</v>
      </c>
      <c r="BV14" s="75">
        <f t="shared" si="38"/>
        <v>0</v>
      </c>
      <c r="BW14" s="75">
        <f t="shared" si="39"/>
        <v>0</v>
      </c>
      <c r="BX14" s="75"/>
      <c r="BY14" s="75"/>
      <c r="BZ14" s="75">
        <f t="shared" si="13"/>
        <v>0</v>
      </c>
      <c r="CA14" s="25">
        <f t="shared" si="14"/>
        <v>0</v>
      </c>
      <c r="CB14" s="75">
        <f t="shared" si="15"/>
        <v>0</v>
      </c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25">
        <f t="shared" si="16"/>
        <v>1</v>
      </c>
      <c r="CX14" s="75">
        <f t="shared" si="17"/>
        <v>15000000</v>
      </c>
      <c r="CY14" s="75">
        <f t="shared" si="18"/>
        <v>0</v>
      </c>
      <c r="CZ14" s="75">
        <f t="shared" si="19"/>
        <v>0</v>
      </c>
      <c r="DA14" s="75"/>
      <c r="DB14" s="75">
        <f t="shared" si="20"/>
        <v>0</v>
      </c>
      <c r="DC14" s="75">
        <f t="shared" si="21"/>
        <v>0</v>
      </c>
      <c r="DD14" s="75">
        <f t="shared" si="22"/>
        <v>15000000</v>
      </c>
      <c r="DE14" s="75">
        <f t="shared" si="23"/>
        <v>0</v>
      </c>
      <c r="DF14" s="75"/>
      <c r="DG14" s="75">
        <f t="shared" si="24"/>
        <v>0</v>
      </c>
      <c r="DH14" s="75">
        <f t="shared" si="25"/>
        <v>0</v>
      </c>
      <c r="DI14" s="75"/>
      <c r="DJ14" s="75">
        <f t="shared" si="26"/>
        <v>0</v>
      </c>
      <c r="DK14" s="75">
        <f t="shared" si="27"/>
        <v>0</v>
      </c>
      <c r="DL14" s="75">
        <f t="shared" si="28"/>
        <v>0</v>
      </c>
      <c r="DM14" s="75">
        <f t="shared" si="29"/>
        <v>0</v>
      </c>
      <c r="DN14" s="75">
        <f t="shared" si="30"/>
        <v>0</v>
      </c>
      <c r="DO14" s="75">
        <f t="shared" si="31"/>
        <v>0</v>
      </c>
      <c r="DP14" s="75">
        <f t="shared" si="32"/>
        <v>0</v>
      </c>
      <c r="DQ14" s="75"/>
      <c r="DR14" s="75">
        <f t="shared" si="33"/>
        <v>0</v>
      </c>
    </row>
    <row r="15" spans="1:122" ht="33" customHeight="1" x14ac:dyDescent="0.25">
      <c r="A15" s="226"/>
      <c r="B15" s="134"/>
      <c r="C15" s="82" t="s">
        <v>487</v>
      </c>
      <c r="D15" s="81" t="s">
        <v>486</v>
      </c>
      <c r="E15" s="97">
        <v>510</v>
      </c>
      <c r="F15" s="78" t="s">
        <v>428</v>
      </c>
      <c r="G15" s="228"/>
      <c r="H15" s="79">
        <f t="shared" si="0"/>
        <v>0</v>
      </c>
      <c r="I15" s="79">
        <f t="shared" si="1"/>
        <v>10000000</v>
      </c>
      <c r="J15" s="228"/>
      <c r="K15" s="228"/>
      <c r="L15" s="78"/>
      <c r="M15" s="75">
        <f t="shared" si="2"/>
        <v>10000000</v>
      </c>
      <c r="N15" s="75"/>
      <c r="O15" s="75"/>
      <c r="P15" s="75"/>
      <c r="Q15" s="75"/>
      <c r="R15" s="75"/>
      <c r="S15" s="75">
        <v>10000000</v>
      </c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I15" s="25">
        <f t="shared" si="3"/>
        <v>0</v>
      </c>
      <c r="AJ15" s="75">
        <f t="shared" si="4"/>
        <v>0</v>
      </c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25">
        <f t="shared" si="5"/>
        <v>1</v>
      </c>
      <c r="BF15" s="75">
        <f t="shared" si="6"/>
        <v>10000000</v>
      </c>
      <c r="BG15" s="75">
        <f t="shared" si="7"/>
        <v>0</v>
      </c>
      <c r="BH15" s="75">
        <f t="shared" si="8"/>
        <v>0</v>
      </c>
      <c r="BI15" s="75"/>
      <c r="BJ15" s="75">
        <f t="shared" si="9"/>
        <v>0</v>
      </c>
      <c r="BK15" s="75"/>
      <c r="BL15" s="75">
        <f t="shared" si="10"/>
        <v>10000000</v>
      </c>
      <c r="BM15" s="75">
        <f t="shared" si="11"/>
        <v>0</v>
      </c>
      <c r="BN15" s="75"/>
      <c r="BO15" s="75"/>
      <c r="BP15" s="75"/>
      <c r="BQ15" s="75"/>
      <c r="BR15" s="75">
        <f t="shared" si="34"/>
        <v>0</v>
      </c>
      <c r="BS15" s="75">
        <f t="shared" si="35"/>
        <v>0</v>
      </c>
      <c r="BT15" s="75">
        <f t="shared" si="36"/>
        <v>0</v>
      </c>
      <c r="BU15" s="75">
        <f t="shared" si="37"/>
        <v>0</v>
      </c>
      <c r="BV15" s="75">
        <f t="shared" si="38"/>
        <v>0</v>
      </c>
      <c r="BW15" s="75">
        <f t="shared" si="39"/>
        <v>0</v>
      </c>
      <c r="BX15" s="75"/>
      <c r="BY15" s="75"/>
      <c r="BZ15" s="75">
        <f t="shared" si="13"/>
        <v>0</v>
      </c>
      <c r="CA15" s="25">
        <f t="shared" si="14"/>
        <v>0</v>
      </c>
      <c r="CB15" s="75">
        <f t="shared" si="15"/>
        <v>0</v>
      </c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5"/>
      <c r="CO15" s="75"/>
      <c r="CP15" s="75"/>
      <c r="CQ15" s="75"/>
      <c r="CR15" s="75"/>
      <c r="CS15" s="75"/>
      <c r="CT15" s="75"/>
      <c r="CU15" s="75"/>
      <c r="CV15" s="75"/>
      <c r="CW15" s="25">
        <f t="shared" si="16"/>
        <v>1</v>
      </c>
      <c r="CX15" s="75">
        <f t="shared" si="17"/>
        <v>10000000</v>
      </c>
      <c r="CY15" s="75">
        <f t="shared" si="18"/>
        <v>0</v>
      </c>
      <c r="CZ15" s="75">
        <f t="shared" si="19"/>
        <v>0</v>
      </c>
      <c r="DA15" s="75"/>
      <c r="DB15" s="75">
        <f t="shared" si="20"/>
        <v>0</v>
      </c>
      <c r="DC15" s="75">
        <f t="shared" si="21"/>
        <v>0</v>
      </c>
      <c r="DD15" s="75">
        <f t="shared" si="22"/>
        <v>10000000</v>
      </c>
      <c r="DE15" s="75">
        <f t="shared" si="23"/>
        <v>0</v>
      </c>
      <c r="DF15" s="75"/>
      <c r="DG15" s="75">
        <f t="shared" si="24"/>
        <v>0</v>
      </c>
      <c r="DH15" s="75">
        <f t="shared" si="25"/>
        <v>0</v>
      </c>
      <c r="DI15" s="75"/>
      <c r="DJ15" s="75">
        <f t="shared" si="26"/>
        <v>0</v>
      </c>
      <c r="DK15" s="75">
        <f t="shared" si="27"/>
        <v>0</v>
      </c>
      <c r="DL15" s="75">
        <f t="shared" si="28"/>
        <v>0</v>
      </c>
      <c r="DM15" s="75">
        <f t="shared" si="29"/>
        <v>0</v>
      </c>
      <c r="DN15" s="75">
        <f t="shared" si="30"/>
        <v>0</v>
      </c>
      <c r="DO15" s="75">
        <f t="shared" si="31"/>
        <v>0</v>
      </c>
      <c r="DP15" s="75">
        <f t="shared" si="32"/>
        <v>0</v>
      </c>
      <c r="DQ15" s="75"/>
      <c r="DR15" s="75">
        <f t="shared" si="33"/>
        <v>0</v>
      </c>
    </row>
    <row r="16" spans="1:122" ht="29.25" customHeight="1" x14ac:dyDescent="0.25">
      <c r="A16" s="226"/>
      <c r="B16" s="134"/>
      <c r="C16" s="82" t="s">
        <v>485</v>
      </c>
      <c r="D16" s="81" t="s">
        <v>484</v>
      </c>
      <c r="E16" s="97">
        <v>510</v>
      </c>
      <c r="F16" s="78" t="s">
        <v>428</v>
      </c>
      <c r="G16" s="229"/>
      <c r="H16" s="79">
        <f t="shared" si="0"/>
        <v>0</v>
      </c>
      <c r="I16" s="79">
        <f t="shared" si="1"/>
        <v>0</v>
      </c>
      <c r="J16" s="229"/>
      <c r="K16" s="229"/>
      <c r="L16" s="78"/>
      <c r="M16" s="75">
        <f t="shared" si="2"/>
        <v>0</v>
      </c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>
        <f>100000000-100000000</f>
        <v>0</v>
      </c>
      <c r="AC16" s="75"/>
      <c r="AD16" s="75"/>
      <c r="AE16" s="75"/>
      <c r="AF16" s="75"/>
      <c r="AG16" s="75"/>
      <c r="AI16" s="25" t="e">
        <f t="shared" si="3"/>
        <v>#DIV/0!</v>
      </c>
      <c r="AJ16" s="75">
        <f t="shared" si="4"/>
        <v>0</v>
      </c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25" t="e">
        <f t="shared" si="5"/>
        <v>#DIV/0!</v>
      </c>
      <c r="BF16" s="75">
        <f t="shared" si="6"/>
        <v>0</v>
      </c>
      <c r="BG16" s="75">
        <f t="shared" si="7"/>
        <v>0</v>
      </c>
      <c r="BH16" s="75">
        <f t="shared" si="8"/>
        <v>0</v>
      </c>
      <c r="BI16" s="75"/>
      <c r="BJ16" s="75">
        <f t="shared" si="9"/>
        <v>0</v>
      </c>
      <c r="BK16" s="75"/>
      <c r="BL16" s="75">
        <f t="shared" si="10"/>
        <v>0</v>
      </c>
      <c r="BM16" s="75">
        <f t="shared" si="11"/>
        <v>0</v>
      </c>
      <c r="BN16" s="75"/>
      <c r="BO16" s="75"/>
      <c r="BP16" s="75"/>
      <c r="BQ16" s="75"/>
      <c r="BR16" s="75">
        <f t="shared" si="34"/>
        <v>0</v>
      </c>
      <c r="BS16" s="75">
        <f t="shared" si="35"/>
        <v>0</v>
      </c>
      <c r="BT16" s="75">
        <f t="shared" si="36"/>
        <v>0</v>
      </c>
      <c r="BU16" s="75">
        <f t="shared" si="37"/>
        <v>0</v>
      </c>
      <c r="BV16" s="75">
        <f t="shared" si="38"/>
        <v>0</v>
      </c>
      <c r="BW16" s="75">
        <f t="shared" si="39"/>
        <v>0</v>
      </c>
      <c r="BX16" s="75"/>
      <c r="BY16" s="75"/>
      <c r="BZ16" s="75">
        <f t="shared" si="13"/>
        <v>0</v>
      </c>
      <c r="CA16" s="25" t="e">
        <f t="shared" si="14"/>
        <v>#DIV/0!</v>
      </c>
      <c r="CB16" s="75">
        <f t="shared" si="15"/>
        <v>0</v>
      </c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25" t="e">
        <f t="shared" si="16"/>
        <v>#DIV/0!</v>
      </c>
      <c r="CX16" s="75">
        <f t="shared" si="17"/>
        <v>0</v>
      </c>
      <c r="CY16" s="75">
        <f t="shared" si="18"/>
        <v>0</v>
      </c>
      <c r="CZ16" s="75">
        <f t="shared" si="19"/>
        <v>0</v>
      </c>
      <c r="DA16" s="75"/>
      <c r="DB16" s="75">
        <f t="shared" si="20"/>
        <v>0</v>
      </c>
      <c r="DC16" s="75">
        <f t="shared" si="21"/>
        <v>0</v>
      </c>
      <c r="DD16" s="75">
        <f t="shared" si="22"/>
        <v>0</v>
      </c>
      <c r="DE16" s="75">
        <f t="shared" si="23"/>
        <v>0</v>
      </c>
      <c r="DF16" s="75"/>
      <c r="DG16" s="75">
        <f t="shared" si="24"/>
        <v>0</v>
      </c>
      <c r="DH16" s="75">
        <f t="shared" si="25"/>
        <v>0</v>
      </c>
      <c r="DI16" s="75"/>
      <c r="DJ16" s="75">
        <f t="shared" si="26"/>
        <v>0</v>
      </c>
      <c r="DK16" s="75">
        <f t="shared" si="27"/>
        <v>0</v>
      </c>
      <c r="DL16" s="75">
        <f t="shared" si="28"/>
        <v>0</v>
      </c>
      <c r="DM16" s="75">
        <f t="shared" si="29"/>
        <v>0</v>
      </c>
      <c r="DN16" s="75">
        <f t="shared" si="30"/>
        <v>0</v>
      </c>
      <c r="DO16" s="75">
        <f t="shared" si="31"/>
        <v>0</v>
      </c>
      <c r="DP16" s="75">
        <f t="shared" si="32"/>
        <v>0</v>
      </c>
      <c r="DQ16" s="75"/>
      <c r="DR16" s="75">
        <f t="shared" si="33"/>
        <v>0</v>
      </c>
    </row>
    <row r="17" spans="1:122" ht="66.75" customHeight="1" x14ac:dyDescent="0.25">
      <c r="A17" s="226"/>
      <c r="B17" s="140" t="s">
        <v>483</v>
      </c>
      <c r="C17" s="82" t="s">
        <v>482</v>
      </c>
      <c r="D17" s="81" t="s">
        <v>481</v>
      </c>
      <c r="E17" s="97">
        <v>310</v>
      </c>
      <c r="F17" s="78" t="s">
        <v>480</v>
      </c>
      <c r="G17" s="227">
        <v>916000000</v>
      </c>
      <c r="H17" s="79">
        <f t="shared" si="0"/>
        <v>196858180</v>
      </c>
      <c r="I17" s="79">
        <f t="shared" si="1"/>
        <v>438065439</v>
      </c>
      <c r="J17" s="227" t="s">
        <v>479</v>
      </c>
      <c r="K17" s="227" t="s">
        <v>478</v>
      </c>
      <c r="L17" s="227" t="s">
        <v>477</v>
      </c>
      <c r="M17" s="75">
        <f t="shared" si="2"/>
        <v>634923619</v>
      </c>
      <c r="N17" s="75"/>
      <c r="O17" s="75"/>
      <c r="P17" s="75"/>
      <c r="Q17" s="75"/>
      <c r="R17" s="75"/>
      <c r="S17" s="75">
        <v>390000000</v>
      </c>
      <c r="T17" s="75"/>
      <c r="U17" s="75"/>
      <c r="V17" s="75"/>
      <c r="W17" s="75"/>
      <c r="X17" s="75"/>
      <c r="Y17" s="75"/>
      <c r="Z17" s="75"/>
      <c r="AA17" s="75"/>
      <c r="AB17" s="75">
        <v>150000000</v>
      </c>
      <c r="AC17" s="75"/>
      <c r="AD17" s="75"/>
      <c r="AE17" s="75"/>
      <c r="AF17" s="75"/>
      <c r="AG17" s="75">
        <f>12388298+18001909+6000000+20000000+3962083+17271329+17300000</f>
        <v>94923619</v>
      </c>
      <c r="AI17" s="25">
        <f t="shared" si="3"/>
        <v>0.37726076307770812</v>
      </c>
      <c r="AJ17" s="75">
        <f t="shared" si="4"/>
        <v>239531769</v>
      </c>
      <c r="AK17" s="75"/>
      <c r="AL17" s="75"/>
      <c r="AM17" s="75"/>
      <c r="AN17" s="75"/>
      <c r="AO17" s="75"/>
      <c r="AP17" s="75">
        <f>+'[1]AGOSTO 2015'!$O$440</f>
        <v>154777628</v>
      </c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>
        <f>+'[1]AGOSTO 2015'!$AD$440</f>
        <v>84754141</v>
      </c>
      <c r="BE17" s="25">
        <f t="shared" si="5"/>
        <v>0.62273923692229194</v>
      </c>
      <c r="BF17" s="75">
        <f t="shared" si="6"/>
        <v>395391850</v>
      </c>
      <c r="BG17" s="75">
        <f t="shared" si="7"/>
        <v>0</v>
      </c>
      <c r="BH17" s="75">
        <f t="shared" si="8"/>
        <v>0</v>
      </c>
      <c r="BI17" s="75"/>
      <c r="BJ17" s="75">
        <f t="shared" si="9"/>
        <v>0</v>
      </c>
      <c r="BK17" s="75"/>
      <c r="BL17" s="75">
        <f t="shared" si="10"/>
        <v>235222372</v>
      </c>
      <c r="BM17" s="75">
        <f t="shared" si="11"/>
        <v>0</v>
      </c>
      <c r="BN17" s="75"/>
      <c r="BO17" s="75"/>
      <c r="BP17" s="75"/>
      <c r="BQ17" s="75"/>
      <c r="BR17" s="75">
        <f t="shared" si="34"/>
        <v>0</v>
      </c>
      <c r="BS17" s="75">
        <f t="shared" si="35"/>
        <v>0</v>
      </c>
      <c r="BT17" s="75">
        <f t="shared" si="36"/>
        <v>0</v>
      </c>
      <c r="BU17" s="75">
        <f t="shared" si="37"/>
        <v>150000000</v>
      </c>
      <c r="BV17" s="75">
        <f t="shared" si="38"/>
        <v>0</v>
      </c>
      <c r="BW17" s="75">
        <f t="shared" si="39"/>
        <v>0</v>
      </c>
      <c r="BX17" s="75"/>
      <c r="BY17" s="75"/>
      <c r="BZ17" s="75">
        <f t="shared" si="13"/>
        <v>10169478</v>
      </c>
      <c r="CA17" s="25">
        <f t="shared" si="14"/>
        <v>0.31005017628742521</v>
      </c>
      <c r="CB17" s="75">
        <f t="shared" si="15"/>
        <v>196858180</v>
      </c>
      <c r="CC17" s="75"/>
      <c r="CD17" s="75"/>
      <c r="CE17" s="75"/>
      <c r="CF17" s="75"/>
      <c r="CG17" s="75"/>
      <c r="CH17" s="75">
        <f>+'[1]AGOSTO 2015'!$H$438-CV17</f>
        <v>153577628</v>
      </c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>
        <f>+'[1]AGOSTO 2015'!$H$441+'[1]AGOSTO 2015'!$H$465+'[1]AGOSTO 2015'!$H$471+'[1]AGOSTO 2015'!$H$490+'[1]AGOSTO 2015'!$H$571+'[1]AGOSTO 2015'!$H$633</f>
        <v>43280552</v>
      </c>
      <c r="CW17" s="25">
        <f t="shared" si="16"/>
        <v>0.68994982371257474</v>
      </c>
      <c r="CX17" s="75">
        <f t="shared" si="17"/>
        <v>438065439</v>
      </c>
      <c r="CY17" s="75">
        <f t="shared" si="18"/>
        <v>0</v>
      </c>
      <c r="CZ17" s="75">
        <f t="shared" si="19"/>
        <v>0</v>
      </c>
      <c r="DA17" s="75"/>
      <c r="DB17" s="75">
        <f t="shared" si="20"/>
        <v>0</v>
      </c>
      <c r="DC17" s="75">
        <f t="shared" si="21"/>
        <v>0</v>
      </c>
      <c r="DD17" s="75">
        <f t="shared" si="22"/>
        <v>236422372</v>
      </c>
      <c r="DE17" s="75">
        <f t="shared" si="23"/>
        <v>0</v>
      </c>
      <c r="DF17" s="75"/>
      <c r="DG17" s="75">
        <f t="shared" si="24"/>
        <v>0</v>
      </c>
      <c r="DH17" s="75">
        <f t="shared" si="25"/>
        <v>0</v>
      </c>
      <c r="DI17" s="75"/>
      <c r="DJ17" s="75">
        <f t="shared" si="26"/>
        <v>0</v>
      </c>
      <c r="DK17" s="75">
        <f t="shared" si="27"/>
        <v>0</v>
      </c>
      <c r="DL17" s="75">
        <f t="shared" si="28"/>
        <v>0</v>
      </c>
      <c r="DM17" s="75">
        <f t="shared" si="29"/>
        <v>150000000</v>
      </c>
      <c r="DN17" s="75">
        <f t="shared" si="30"/>
        <v>0</v>
      </c>
      <c r="DO17" s="75">
        <f t="shared" si="31"/>
        <v>0</v>
      </c>
      <c r="DP17" s="75">
        <f t="shared" si="32"/>
        <v>0</v>
      </c>
      <c r="DQ17" s="75"/>
      <c r="DR17" s="75">
        <f t="shared" si="33"/>
        <v>51643067</v>
      </c>
    </row>
    <row r="18" spans="1:122" ht="32.25" customHeight="1" x14ac:dyDescent="0.25">
      <c r="A18" s="226"/>
      <c r="B18" s="134"/>
      <c r="C18" s="82" t="s">
        <v>476</v>
      </c>
      <c r="D18" s="81" t="s">
        <v>475</v>
      </c>
      <c r="E18" s="97">
        <v>310</v>
      </c>
      <c r="F18" s="78" t="s">
        <v>425</v>
      </c>
      <c r="G18" s="228"/>
      <c r="H18" s="79">
        <f t="shared" si="0"/>
        <v>126849675</v>
      </c>
      <c r="I18" s="79">
        <f t="shared" si="1"/>
        <v>98135469</v>
      </c>
      <c r="J18" s="228"/>
      <c r="K18" s="228"/>
      <c r="L18" s="228"/>
      <c r="M18" s="75">
        <f t="shared" si="2"/>
        <v>224985144</v>
      </c>
      <c r="N18" s="75"/>
      <c r="O18" s="75"/>
      <c r="P18" s="75"/>
      <c r="Q18" s="75"/>
      <c r="R18" s="75"/>
      <c r="S18" s="75">
        <v>30000000</v>
      </c>
      <c r="T18" s="75">
        <f>222000000-30014856</f>
        <v>191985144</v>
      </c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>
        <v>3000000</v>
      </c>
      <c r="AH18" s="139"/>
      <c r="AI18" s="25">
        <f t="shared" si="3"/>
        <v>0.57639661310259671</v>
      </c>
      <c r="AJ18" s="75">
        <f t="shared" si="4"/>
        <v>129680675</v>
      </c>
      <c r="AK18" s="75"/>
      <c r="AL18" s="75"/>
      <c r="AM18" s="75"/>
      <c r="AN18" s="75"/>
      <c r="AO18" s="75"/>
      <c r="AP18" s="75">
        <f>+'[2]JULIO 2015'!$O$577</f>
        <v>30000000</v>
      </c>
      <c r="AQ18" s="75">
        <f>+'[1]AGOSTO 2015'!$P$654</f>
        <v>99680675</v>
      </c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25">
        <f t="shared" si="5"/>
        <v>0.42360338689740329</v>
      </c>
      <c r="BF18" s="75">
        <f t="shared" si="6"/>
        <v>95304469</v>
      </c>
      <c r="BG18" s="75">
        <f t="shared" si="7"/>
        <v>0</v>
      </c>
      <c r="BH18" s="75">
        <f t="shared" si="8"/>
        <v>0</v>
      </c>
      <c r="BI18" s="75"/>
      <c r="BJ18" s="75">
        <f t="shared" si="9"/>
        <v>0</v>
      </c>
      <c r="BK18" s="75"/>
      <c r="BL18" s="75">
        <f t="shared" si="10"/>
        <v>0</v>
      </c>
      <c r="BM18" s="75">
        <f t="shared" si="11"/>
        <v>92304469</v>
      </c>
      <c r="BN18" s="75"/>
      <c r="BO18" s="75">
        <f>+V18-AS18</f>
        <v>0</v>
      </c>
      <c r="BP18" s="75">
        <f>+W18-AT18</f>
        <v>0</v>
      </c>
      <c r="BQ18" s="75">
        <f>+X18-AU18</f>
        <v>0</v>
      </c>
      <c r="BR18" s="75">
        <f t="shared" si="34"/>
        <v>0</v>
      </c>
      <c r="BS18" s="75">
        <f t="shared" si="35"/>
        <v>0</v>
      </c>
      <c r="BT18" s="75">
        <f t="shared" si="36"/>
        <v>0</v>
      </c>
      <c r="BU18" s="75">
        <f t="shared" si="37"/>
        <v>0</v>
      </c>
      <c r="BV18" s="75">
        <f t="shared" si="38"/>
        <v>0</v>
      </c>
      <c r="BW18" s="75">
        <f t="shared" si="39"/>
        <v>0</v>
      </c>
      <c r="BX18" s="75"/>
      <c r="BY18" s="75"/>
      <c r="BZ18" s="75">
        <f t="shared" si="13"/>
        <v>3000000</v>
      </c>
      <c r="CA18" s="25">
        <f t="shared" si="14"/>
        <v>0.56381356006332584</v>
      </c>
      <c r="CB18" s="75">
        <f t="shared" si="15"/>
        <v>126849675</v>
      </c>
      <c r="CC18" s="75"/>
      <c r="CD18" s="75"/>
      <c r="CE18" s="75"/>
      <c r="CF18" s="75"/>
      <c r="CG18" s="75"/>
      <c r="CH18" s="75">
        <f>+'[1]AGOSTO 2015'!$H$655+'[1]AGOSTO 2015'!$H$656+'[1]AGOSTO 2015'!$H$657+'[1]AGOSTO 2015'!$H$658+'[1]AGOSTO 2015'!$H$660+'[1]AGOSTO 2015'!$H$662</f>
        <v>29177750</v>
      </c>
      <c r="CI18" s="75">
        <f>+'[1]AGOSTO 2015'!$H$652-CH18</f>
        <v>97671925</v>
      </c>
      <c r="CJ18" s="75"/>
      <c r="CK18" s="75"/>
      <c r="CL18" s="75"/>
      <c r="CM18" s="75"/>
      <c r="CN18" s="75"/>
      <c r="CO18" s="75"/>
      <c r="CP18" s="75"/>
      <c r="CQ18" s="75"/>
      <c r="CR18" s="75"/>
      <c r="CS18" s="75"/>
      <c r="CT18" s="75"/>
      <c r="CU18" s="75"/>
      <c r="CV18" s="75"/>
      <c r="CW18" s="25">
        <f t="shared" si="16"/>
        <v>0.43618643993667416</v>
      </c>
      <c r="CX18" s="75">
        <f t="shared" si="17"/>
        <v>98135469</v>
      </c>
      <c r="CY18" s="75">
        <f t="shared" si="18"/>
        <v>0</v>
      </c>
      <c r="CZ18" s="75">
        <f t="shared" si="19"/>
        <v>0</v>
      </c>
      <c r="DA18" s="75"/>
      <c r="DB18" s="75">
        <f t="shared" si="20"/>
        <v>0</v>
      </c>
      <c r="DC18" s="75">
        <f t="shared" si="21"/>
        <v>0</v>
      </c>
      <c r="DD18" s="75">
        <f t="shared" si="22"/>
        <v>822250</v>
      </c>
      <c r="DE18" s="75">
        <f t="shared" si="23"/>
        <v>94313219</v>
      </c>
      <c r="DF18" s="75"/>
      <c r="DG18" s="75">
        <f t="shared" si="24"/>
        <v>0</v>
      </c>
      <c r="DH18" s="75">
        <f t="shared" si="25"/>
        <v>0</v>
      </c>
      <c r="DI18" s="75"/>
      <c r="DJ18" s="75">
        <f t="shared" si="26"/>
        <v>0</v>
      </c>
      <c r="DK18" s="75">
        <f t="shared" si="27"/>
        <v>0</v>
      </c>
      <c r="DL18" s="75">
        <f t="shared" si="28"/>
        <v>0</v>
      </c>
      <c r="DM18" s="75">
        <f t="shared" si="29"/>
        <v>0</v>
      </c>
      <c r="DN18" s="75">
        <f t="shared" si="30"/>
        <v>0</v>
      </c>
      <c r="DO18" s="75">
        <f t="shared" si="31"/>
        <v>0</v>
      </c>
      <c r="DP18" s="75">
        <f t="shared" si="32"/>
        <v>0</v>
      </c>
      <c r="DQ18" s="75"/>
      <c r="DR18" s="75">
        <f t="shared" si="33"/>
        <v>3000000</v>
      </c>
    </row>
    <row r="19" spans="1:122" ht="33.75" customHeight="1" x14ac:dyDescent="0.25">
      <c r="A19" s="226"/>
      <c r="B19" s="134"/>
      <c r="C19" s="82" t="s">
        <v>474</v>
      </c>
      <c r="D19" s="81" t="s">
        <v>473</v>
      </c>
      <c r="E19" s="97">
        <v>310</v>
      </c>
      <c r="F19" s="78" t="s">
        <v>428</v>
      </c>
      <c r="G19" s="228"/>
      <c r="H19" s="79">
        <f t="shared" si="0"/>
        <v>74259184</v>
      </c>
      <c r="I19" s="79">
        <f t="shared" si="1"/>
        <v>5740816</v>
      </c>
      <c r="J19" s="228"/>
      <c r="K19" s="228"/>
      <c r="L19" s="228"/>
      <c r="M19" s="75">
        <f t="shared" si="2"/>
        <v>80000000</v>
      </c>
      <c r="N19" s="75"/>
      <c r="O19" s="75">
        <f>144000000-144000000</f>
        <v>0</v>
      </c>
      <c r="P19" s="75"/>
      <c r="Q19" s="75"/>
      <c r="R19" s="75"/>
      <c r="S19" s="75"/>
      <c r="T19" s="75">
        <f>144000000-64000000</f>
        <v>80000000</v>
      </c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139"/>
      <c r="AI19" s="25">
        <f t="shared" si="3"/>
        <v>1</v>
      </c>
      <c r="AJ19" s="75">
        <f t="shared" si="4"/>
        <v>80000000</v>
      </c>
      <c r="AK19" s="75"/>
      <c r="AL19" s="75"/>
      <c r="AM19" s="75"/>
      <c r="AN19" s="75"/>
      <c r="AO19" s="75"/>
      <c r="AP19" s="75"/>
      <c r="AQ19" s="75">
        <f>+'[4]MARZO 2015'!$O$374</f>
        <v>80000000</v>
      </c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25">
        <f t="shared" si="5"/>
        <v>0</v>
      </c>
      <c r="BF19" s="75">
        <f t="shared" si="6"/>
        <v>0</v>
      </c>
      <c r="BG19" s="75">
        <f t="shared" si="7"/>
        <v>0</v>
      </c>
      <c r="BH19" s="75">
        <f t="shared" ref="BH19:BH33" si="40">O19-AL19</f>
        <v>0</v>
      </c>
      <c r="BI19" s="75"/>
      <c r="BJ19" s="75">
        <f t="shared" si="9"/>
        <v>0</v>
      </c>
      <c r="BK19" s="75"/>
      <c r="BL19" s="75">
        <f t="shared" si="10"/>
        <v>0</v>
      </c>
      <c r="BM19" s="75">
        <f t="shared" si="11"/>
        <v>0</v>
      </c>
      <c r="BN19" s="75"/>
      <c r="BO19" s="75"/>
      <c r="BP19" s="75"/>
      <c r="BQ19" s="75"/>
      <c r="BR19" s="75">
        <f t="shared" si="34"/>
        <v>0</v>
      </c>
      <c r="BS19" s="75">
        <f t="shared" si="35"/>
        <v>0</v>
      </c>
      <c r="BT19" s="75">
        <f t="shared" si="36"/>
        <v>0</v>
      </c>
      <c r="BU19" s="75">
        <f t="shared" si="37"/>
        <v>0</v>
      </c>
      <c r="BV19" s="75">
        <f t="shared" si="38"/>
        <v>0</v>
      </c>
      <c r="BW19" s="75">
        <f t="shared" si="39"/>
        <v>0</v>
      </c>
      <c r="BX19" s="75"/>
      <c r="BY19" s="75"/>
      <c r="BZ19" s="75">
        <f t="shared" si="13"/>
        <v>0</v>
      </c>
      <c r="CA19" s="25">
        <f t="shared" si="14"/>
        <v>0.92823979999999995</v>
      </c>
      <c r="CB19" s="75">
        <f t="shared" si="15"/>
        <v>74259184</v>
      </c>
      <c r="CC19" s="75"/>
      <c r="CD19" s="75"/>
      <c r="CE19" s="75"/>
      <c r="CF19" s="75"/>
      <c r="CG19" s="75"/>
      <c r="CH19" s="75"/>
      <c r="CI19" s="75">
        <f>+'[2]JULIO 2015'!$H$596</f>
        <v>74259184</v>
      </c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25">
        <f t="shared" si="16"/>
        <v>7.1760200000000052E-2</v>
      </c>
      <c r="CX19" s="75">
        <f t="shared" si="17"/>
        <v>5740816</v>
      </c>
      <c r="CY19" s="75">
        <f t="shared" si="18"/>
        <v>0</v>
      </c>
      <c r="CZ19" s="75">
        <f t="shared" si="19"/>
        <v>0</v>
      </c>
      <c r="DA19" s="75"/>
      <c r="DB19" s="75">
        <f t="shared" si="20"/>
        <v>0</v>
      </c>
      <c r="DC19" s="75">
        <f t="shared" si="21"/>
        <v>0</v>
      </c>
      <c r="DD19" s="75">
        <f t="shared" si="22"/>
        <v>0</v>
      </c>
      <c r="DE19" s="75">
        <f t="shared" si="23"/>
        <v>5740816</v>
      </c>
      <c r="DF19" s="75"/>
      <c r="DG19" s="75">
        <f t="shared" si="24"/>
        <v>0</v>
      </c>
      <c r="DH19" s="75">
        <f t="shared" si="25"/>
        <v>0</v>
      </c>
      <c r="DI19" s="75"/>
      <c r="DJ19" s="75">
        <f t="shared" si="26"/>
        <v>0</v>
      </c>
      <c r="DK19" s="75">
        <f t="shared" si="27"/>
        <v>0</v>
      </c>
      <c r="DL19" s="75">
        <f t="shared" si="28"/>
        <v>0</v>
      </c>
      <c r="DM19" s="75">
        <f t="shared" si="29"/>
        <v>0</v>
      </c>
      <c r="DN19" s="75">
        <f t="shared" si="30"/>
        <v>0</v>
      </c>
      <c r="DO19" s="75">
        <f t="shared" si="31"/>
        <v>0</v>
      </c>
      <c r="DP19" s="75">
        <f t="shared" si="32"/>
        <v>0</v>
      </c>
      <c r="DQ19" s="75"/>
      <c r="DR19" s="75">
        <f t="shared" si="33"/>
        <v>0</v>
      </c>
    </row>
    <row r="20" spans="1:122" ht="21" customHeight="1" x14ac:dyDescent="0.25">
      <c r="A20" s="226"/>
      <c r="B20" s="134"/>
      <c r="C20" s="82" t="s">
        <v>472</v>
      </c>
      <c r="D20" s="81" t="s">
        <v>471</v>
      </c>
      <c r="E20" s="97">
        <v>310</v>
      </c>
      <c r="F20" s="78" t="s">
        <v>428</v>
      </c>
      <c r="G20" s="228"/>
      <c r="H20" s="79">
        <f t="shared" si="0"/>
        <v>0</v>
      </c>
      <c r="I20" s="79">
        <f t="shared" si="1"/>
        <v>11000000</v>
      </c>
      <c r="J20" s="228"/>
      <c r="K20" s="228"/>
      <c r="L20" s="228"/>
      <c r="M20" s="75">
        <f t="shared" si="2"/>
        <v>11000000</v>
      </c>
      <c r="N20" s="24"/>
      <c r="O20" s="45"/>
      <c r="P20" s="45"/>
      <c r="Q20" s="45"/>
      <c r="R20" s="45"/>
      <c r="S20" s="45"/>
      <c r="T20" s="75">
        <f>4000000-4000000</f>
        <v>0</v>
      </c>
      <c r="U20" s="45"/>
      <c r="V20" s="24"/>
      <c r="W20" s="24"/>
      <c r="X20" s="24"/>
      <c r="Y20" s="24"/>
      <c r="Z20" s="24"/>
      <c r="AA20" s="24"/>
      <c r="AB20" s="75">
        <v>11000000</v>
      </c>
      <c r="AC20" s="24"/>
      <c r="AD20" s="24"/>
      <c r="AE20" s="24"/>
      <c r="AF20" s="24"/>
      <c r="AG20" s="45"/>
      <c r="AH20" s="139"/>
      <c r="AI20" s="25">
        <f t="shared" si="3"/>
        <v>0</v>
      </c>
      <c r="AJ20" s="75">
        <f t="shared" si="4"/>
        <v>0</v>
      </c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25">
        <f t="shared" si="5"/>
        <v>1</v>
      </c>
      <c r="BF20" s="75">
        <f t="shared" si="6"/>
        <v>11000000</v>
      </c>
      <c r="BG20" s="75">
        <f t="shared" si="7"/>
        <v>0</v>
      </c>
      <c r="BH20" s="75">
        <f t="shared" si="40"/>
        <v>0</v>
      </c>
      <c r="BI20" s="75"/>
      <c r="BJ20" s="75">
        <f t="shared" si="9"/>
        <v>0</v>
      </c>
      <c r="BK20" s="75"/>
      <c r="BL20" s="75">
        <f t="shared" si="10"/>
        <v>0</v>
      </c>
      <c r="BM20" s="75">
        <f t="shared" si="11"/>
        <v>0</v>
      </c>
      <c r="BN20" s="75"/>
      <c r="BO20" s="75"/>
      <c r="BP20" s="75"/>
      <c r="BQ20" s="75"/>
      <c r="BR20" s="75">
        <f t="shared" si="34"/>
        <v>0</v>
      </c>
      <c r="BS20" s="75">
        <f t="shared" si="35"/>
        <v>0</v>
      </c>
      <c r="BT20" s="75">
        <f t="shared" si="36"/>
        <v>0</v>
      </c>
      <c r="BU20" s="75">
        <f t="shared" si="37"/>
        <v>11000000</v>
      </c>
      <c r="BV20" s="75">
        <f t="shared" si="38"/>
        <v>0</v>
      </c>
      <c r="BW20" s="75">
        <f t="shared" si="39"/>
        <v>0</v>
      </c>
      <c r="BX20" s="75"/>
      <c r="BY20" s="75"/>
      <c r="BZ20" s="75">
        <f t="shared" si="13"/>
        <v>0</v>
      </c>
      <c r="CA20" s="25">
        <f t="shared" si="14"/>
        <v>0</v>
      </c>
      <c r="CB20" s="75">
        <f t="shared" si="15"/>
        <v>0</v>
      </c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  <c r="CR20" s="75"/>
      <c r="CS20" s="75"/>
      <c r="CT20" s="75"/>
      <c r="CU20" s="75"/>
      <c r="CV20" s="75"/>
      <c r="CW20" s="25">
        <f t="shared" si="16"/>
        <v>1</v>
      </c>
      <c r="CX20" s="75">
        <f t="shared" si="17"/>
        <v>11000000</v>
      </c>
      <c r="CY20" s="75">
        <f t="shared" si="18"/>
        <v>0</v>
      </c>
      <c r="CZ20" s="75">
        <f t="shared" si="19"/>
        <v>0</v>
      </c>
      <c r="DA20" s="75"/>
      <c r="DB20" s="75">
        <f t="shared" si="20"/>
        <v>0</v>
      </c>
      <c r="DC20" s="75">
        <f t="shared" si="21"/>
        <v>0</v>
      </c>
      <c r="DD20" s="75">
        <f t="shared" si="22"/>
        <v>0</v>
      </c>
      <c r="DE20" s="75">
        <f t="shared" si="23"/>
        <v>0</v>
      </c>
      <c r="DF20" s="75"/>
      <c r="DG20" s="75">
        <f t="shared" si="24"/>
        <v>0</v>
      </c>
      <c r="DH20" s="75">
        <f t="shared" si="25"/>
        <v>0</v>
      </c>
      <c r="DI20" s="75"/>
      <c r="DJ20" s="75">
        <f t="shared" si="26"/>
        <v>0</v>
      </c>
      <c r="DK20" s="75">
        <f t="shared" si="27"/>
        <v>0</v>
      </c>
      <c r="DL20" s="75">
        <f t="shared" si="28"/>
        <v>0</v>
      </c>
      <c r="DM20" s="75">
        <f t="shared" si="29"/>
        <v>11000000</v>
      </c>
      <c r="DN20" s="75">
        <f t="shared" si="30"/>
        <v>0</v>
      </c>
      <c r="DO20" s="75">
        <f t="shared" si="31"/>
        <v>0</v>
      </c>
      <c r="DP20" s="75">
        <f t="shared" si="32"/>
        <v>0</v>
      </c>
      <c r="DQ20" s="75"/>
      <c r="DR20" s="75">
        <f t="shared" si="33"/>
        <v>0</v>
      </c>
    </row>
    <row r="21" spans="1:122" ht="35.25" customHeight="1" x14ac:dyDescent="0.25">
      <c r="A21" s="226"/>
      <c r="B21" s="134"/>
      <c r="C21" s="82" t="s">
        <v>470</v>
      </c>
      <c r="D21" s="81" t="s">
        <v>469</v>
      </c>
      <c r="E21" s="97">
        <v>310</v>
      </c>
      <c r="F21" s="78" t="s">
        <v>428</v>
      </c>
      <c r="G21" s="229"/>
      <c r="H21" s="79">
        <f t="shared" si="0"/>
        <v>0</v>
      </c>
      <c r="I21" s="79">
        <f t="shared" si="1"/>
        <v>50000000</v>
      </c>
      <c r="J21" s="229"/>
      <c r="K21" s="229"/>
      <c r="L21" s="229"/>
      <c r="M21" s="75">
        <f t="shared" si="2"/>
        <v>50000000</v>
      </c>
      <c r="N21" s="24"/>
      <c r="O21" s="45">
        <f>36000000-36000000</f>
        <v>0</v>
      </c>
      <c r="P21" s="45"/>
      <c r="Q21" s="45"/>
      <c r="R21" s="45"/>
      <c r="S21" s="45"/>
      <c r="T21" s="75">
        <f>34000000+36000000-20000000</f>
        <v>50000000</v>
      </c>
      <c r="U21" s="45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45"/>
      <c r="AH21" s="139"/>
      <c r="AI21" s="25">
        <f t="shared" si="3"/>
        <v>0</v>
      </c>
      <c r="AJ21" s="75">
        <f t="shared" si="4"/>
        <v>0</v>
      </c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25"/>
      <c r="BF21" s="75">
        <f t="shared" si="6"/>
        <v>50000000</v>
      </c>
      <c r="BG21" s="75">
        <f t="shared" si="7"/>
        <v>0</v>
      </c>
      <c r="BH21" s="75">
        <f t="shared" si="40"/>
        <v>0</v>
      </c>
      <c r="BI21" s="75"/>
      <c r="BJ21" s="75">
        <f t="shared" si="9"/>
        <v>0</v>
      </c>
      <c r="BK21" s="75"/>
      <c r="BL21" s="75">
        <f t="shared" si="10"/>
        <v>0</v>
      </c>
      <c r="BM21" s="75">
        <f t="shared" si="11"/>
        <v>50000000</v>
      </c>
      <c r="BN21" s="75"/>
      <c r="BO21" s="75"/>
      <c r="BP21" s="75"/>
      <c r="BQ21" s="75"/>
      <c r="BR21" s="75">
        <f t="shared" si="34"/>
        <v>0</v>
      </c>
      <c r="BS21" s="75">
        <f t="shared" si="35"/>
        <v>0</v>
      </c>
      <c r="BT21" s="75">
        <f t="shared" si="36"/>
        <v>0</v>
      </c>
      <c r="BU21" s="75">
        <f t="shared" si="37"/>
        <v>0</v>
      </c>
      <c r="BV21" s="75">
        <f t="shared" si="38"/>
        <v>0</v>
      </c>
      <c r="BW21" s="75">
        <f t="shared" si="39"/>
        <v>0</v>
      </c>
      <c r="BX21" s="75"/>
      <c r="BY21" s="75"/>
      <c r="BZ21" s="75">
        <f t="shared" si="13"/>
        <v>0</v>
      </c>
      <c r="CA21" s="25">
        <f t="shared" si="14"/>
        <v>0</v>
      </c>
      <c r="CB21" s="75">
        <f t="shared" si="15"/>
        <v>0</v>
      </c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25">
        <f t="shared" si="16"/>
        <v>1</v>
      </c>
      <c r="CX21" s="75">
        <f t="shared" si="17"/>
        <v>50000000</v>
      </c>
      <c r="CY21" s="75">
        <f t="shared" si="18"/>
        <v>0</v>
      </c>
      <c r="CZ21" s="75">
        <f t="shared" si="19"/>
        <v>0</v>
      </c>
      <c r="DA21" s="75"/>
      <c r="DB21" s="75">
        <f t="shared" si="20"/>
        <v>0</v>
      </c>
      <c r="DC21" s="75">
        <f t="shared" si="21"/>
        <v>0</v>
      </c>
      <c r="DD21" s="75">
        <f t="shared" si="22"/>
        <v>0</v>
      </c>
      <c r="DE21" s="75">
        <f t="shared" si="23"/>
        <v>50000000</v>
      </c>
      <c r="DF21" s="75"/>
      <c r="DG21" s="75">
        <f t="shared" si="24"/>
        <v>0</v>
      </c>
      <c r="DH21" s="75">
        <f t="shared" si="25"/>
        <v>0</v>
      </c>
      <c r="DI21" s="75"/>
      <c r="DJ21" s="75">
        <f t="shared" si="26"/>
        <v>0</v>
      </c>
      <c r="DK21" s="75">
        <f t="shared" si="27"/>
        <v>0</v>
      </c>
      <c r="DL21" s="75">
        <f t="shared" si="28"/>
        <v>0</v>
      </c>
      <c r="DM21" s="75">
        <f t="shared" si="29"/>
        <v>0</v>
      </c>
      <c r="DN21" s="75">
        <f t="shared" si="30"/>
        <v>0</v>
      </c>
      <c r="DO21" s="75">
        <f t="shared" si="31"/>
        <v>0</v>
      </c>
      <c r="DP21" s="75">
        <f t="shared" si="32"/>
        <v>0</v>
      </c>
      <c r="DQ21" s="75"/>
      <c r="DR21" s="75">
        <f t="shared" si="33"/>
        <v>0</v>
      </c>
    </row>
    <row r="22" spans="1:122" ht="67.5" customHeight="1" x14ac:dyDescent="0.25">
      <c r="A22" s="226"/>
      <c r="B22" s="134" t="s">
        <v>468</v>
      </c>
      <c r="C22" s="82" t="s">
        <v>467</v>
      </c>
      <c r="D22" s="81" t="s">
        <v>466</v>
      </c>
      <c r="E22" s="97">
        <v>510</v>
      </c>
      <c r="F22" s="78" t="s">
        <v>465</v>
      </c>
      <c r="G22" s="227">
        <v>259000000</v>
      </c>
      <c r="H22" s="79">
        <f t="shared" si="0"/>
        <v>38955845</v>
      </c>
      <c r="I22" s="79">
        <f t="shared" si="1"/>
        <v>65044155</v>
      </c>
      <c r="J22" s="227" t="s">
        <v>464</v>
      </c>
      <c r="K22" s="129" t="s">
        <v>463</v>
      </c>
      <c r="L22" s="129" t="s">
        <v>462</v>
      </c>
      <c r="M22" s="75">
        <f t="shared" si="2"/>
        <v>104000000</v>
      </c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>
        <v>50000000</v>
      </c>
      <c r="AD22" s="75"/>
      <c r="AE22" s="75"/>
      <c r="AF22" s="75"/>
      <c r="AG22" s="75">
        <f>9000000+5000000+15000000+5000000+5000000+15000000</f>
        <v>54000000</v>
      </c>
      <c r="AI22" s="25">
        <f t="shared" si="3"/>
        <v>0.99323179807692308</v>
      </c>
      <c r="AJ22" s="75">
        <f t="shared" si="4"/>
        <v>103296107</v>
      </c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>
        <f>+'[5]FEBRERO 2015'!$X$852</f>
        <v>50000000</v>
      </c>
      <c r="BA22" s="75"/>
      <c r="BB22" s="75"/>
      <c r="BC22" s="75"/>
      <c r="BD22" s="75">
        <f>+'[1]AGOSTO 2015'!$AD$2041</f>
        <v>53296107</v>
      </c>
      <c r="BE22" s="25"/>
      <c r="BF22" s="75">
        <f t="shared" si="6"/>
        <v>703893</v>
      </c>
      <c r="BG22" s="75">
        <f t="shared" si="7"/>
        <v>0</v>
      </c>
      <c r="BH22" s="75">
        <f t="shared" si="40"/>
        <v>0</v>
      </c>
      <c r="BI22" s="75"/>
      <c r="BJ22" s="75">
        <f t="shared" si="9"/>
        <v>0</v>
      </c>
      <c r="BK22" s="75"/>
      <c r="BL22" s="75">
        <f t="shared" si="10"/>
        <v>0</v>
      </c>
      <c r="BM22" s="75">
        <f t="shared" si="11"/>
        <v>0</v>
      </c>
      <c r="BN22" s="75"/>
      <c r="BO22" s="75"/>
      <c r="BP22" s="75"/>
      <c r="BQ22" s="75"/>
      <c r="BR22" s="75">
        <f t="shared" si="34"/>
        <v>0</v>
      </c>
      <c r="BS22" s="75">
        <f t="shared" si="35"/>
        <v>0</v>
      </c>
      <c r="BT22" s="75">
        <f t="shared" si="36"/>
        <v>0</v>
      </c>
      <c r="BU22" s="75">
        <f t="shared" si="37"/>
        <v>0</v>
      </c>
      <c r="BV22" s="75">
        <f t="shared" si="38"/>
        <v>0</v>
      </c>
      <c r="BW22" s="75">
        <f t="shared" si="39"/>
        <v>0</v>
      </c>
      <c r="BX22" s="75"/>
      <c r="BY22" s="75"/>
      <c r="BZ22" s="75">
        <f t="shared" si="13"/>
        <v>703893</v>
      </c>
      <c r="CA22" s="25">
        <f t="shared" si="14"/>
        <v>0.3745754326923077</v>
      </c>
      <c r="CB22" s="75">
        <f t="shared" si="15"/>
        <v>38955845</v>
      </c>
      <c r="CC22" s="75"/>
      <c r="CD22" s="75"/>
      <c r="CE22" s="75"/>
      <c r="CF22" s="75"/>
      <c r="CG22" s="75"/>
      <c r="CH22" s="75"/>
      <c r="CI22" s="75"/>
      <c r="CJ22" s="75"/>
      <c r="CK22" s="75"/>
      <c r="CL22" s="75"/>
      <c r="CM22" s="75"/>
      <c r="CN22" s="75"/>
      <c r="CO22" s="75"/>
      <c r="CP22" s="75"/>
      <c r="CQ22" s="75"/>
      <c r="CR22" s="75"/>
      <c r="CS22" s="75"/>
      <c r="CT22" s="75"/>
      <c r="CU22" s="75"/>
      <c r="CV22" s="75">
        <f>+'[1]AGOSTO 2015'!$H$2039</f>
        <v>38955845</v>
      </c>
      <c r="CW22" s="25">
        <f t="shared" si="16"/>
        <v>0.62542456730769236</v>
      </c>
      <c r="CX22" s="75">
        <f t="shared" si="17"/>
        <v>65044155</v>
      </c>
      <c r="CY22" s="75">
        <f t="shared" si="18"/>
        <v>0</v>
      </c>
      <c r="CZ22" s="75">
        <f t="shared" si="19"/>
        <v>0</v>
      </c>
      <c r="DA22" s="75"/>
      <c r="DB22" s="75">
        <f t="shared" si="20"/>
        <v>0</v>
      </c>
      <c r="DC22" s="75">
        <f t="shared" si="21"/>
        <v>0</v>
      </c>
      <c r="DD22" s="75">
        <f t="shared" si="22"/>
        <v>0</v>
      </c>
      <c r="DE22" s="75">
        <f t="shared" si="23"/>
        <v>0</v>
      </c>
      <c r="DF22" s="75"/>
      <c r="DG22" s="75">
        <f t="shared" si="24"/>
        <v>0</v>
      </c>
      <c r="DH22" s="75">
        <f t="shared" si="25"/>
        <v>0</v>
      </c>
      <c r="DI22" s="75"/>
      <c r="DJ22" s="75">
        <f t="shared" si="26"/>
        <v>0</v>
      </c>
      <c r="DK22" s="75">
        <f t="shared" si="27"/>
        <v>0</v>
      </c>
      <c r="DL22" s="75">
        <f t="shared" si="28"/>
        <v>0</v>
      </c>
      <c r="DM22" s="75">
        <f t="shared" si="29"/>
        <v>0</v>
      </c>
      <c r="DN22" s="75">
        <f t="shared" si="30"/>
        <v>50000000</v>
      </c>
      <c r="DO22" s="75">
        <f t="shared" si="31"/>
        <v>0</v>
      </c>
      <c r="DP22" s="75">
        <f t="shared" si="32"/>
        <v>0</v>
      </c>
      <c r="DQ22" s="75"/>
      <c r="DR22" s="75">
        <f t="shared" si="33"/>
        <v>15044155</v>
      </c>
    </row>
    <row r="23" spans="1:122" ht="47.25" customHeight="1" x14ac:dyDescent="0.25">
      <c r="A23" s="226"/>
      <c r="B23" s="134"/>
      <c r="C23" s="82" t="s">
        <v>461</v>
      </c>
      <c r="D23" s="81" t="s">
        <v>460</v>
      </c>
      <c r="E23" s="97">
        <v>510</v>
      </c>
      <c r="F23" s="78" t="s">
        <v>459</v>
      </c>
      <c r="G23" s="229"/>
      <c r="H23" s="79">
        <f t="shared" si="0"/>
        <v>168347392</v>
      </c>
      <c r="I23" s="79">
        <f t="shared" si="1"/>
        <v>3852608</v>
      </c>
      <c r="J23" s="229"/>
      <c r="K23" s="138" t="s">
        <v>458</v>
      </c>
      <c r="L23" s="138" t="s">
        <v>457</v>
      </c>
      <c r="M23" s="75">
        <f t="shared" si="2"/>
        <v>172200000</v>
      </c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>
        <v>170000000</v>
      </c>
      <c r="AD23" s="75"/>
      <c r="AE23" s="75"/>
      <c r="AF23" s="75"/>
      <c r="AG23" s="75">
        <v>2200000</v>
      </c>
      <c r="AI23" s="25">
        <f t="shared" si="3"/>
        <v>0.98722415795586527</v>
      </c>
      <c r="AJ23" s="75">
        <f t="shared" si="4"/>
        <v>170000000</v>
      </c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>
        <f>+'[5]FEBRERO 2015'!$X$864</f>
        <v>170000000</v>
      </c>
      <c r="BA23" s="75"/>
      <c r="BB23" s="75"/>
      <c r="BC23" s="75"/>
      <c r="BD23" s="75"/>
      <c r="BE23" s="25">
        <f>1-AI21</f>
        <v>1</v>
      </c>
      <c r="BF23" s="75">
        <f t="shared" si="6"/>
        <v>2200000</v>
      </c>
      <c r="BG23" s="75">
        <f t="shared" si="7"/>
        <v>0</v>
      </c>
      <c r="BH23" s="75">
        <f t="shared" si="40"/>
        <v>0</v>
      </c>
      <c r="BI23" s="75"/>
      <c r="BJ23" s="75">
        <f t="shared" si="9"/>
        <v>0</v>
      </c>
      <c r="BK23" s="75"/>
      <c r="BL23" s="75">
        <f t="shared" si="10"/>
        <v>0</v>
      </c>
      <c r="BM23" s="75">
        <f t="shared" si="11"/>
        <v>0</v>
      </c>
      <c r="BN23" s="75"/>
      <c r="BO23" s="75"/>
      <c r="BP23" s="75"/>
      <c r="BQ23" s="75"/>
      <c r="BR23" s="75">
        <f t="shared" si="34"/>
        <v>0</v>
      </c>
      <c r="BS23" s="75">
        <f t="shared" si="35"/>
        <v>0</v>
      </c>
      <c r="BT23" s="75">
        <f t="shared" si="36"/>
        <v>0</v>
      </c>
      <c r="BU23" s="75">
        <f t="shared" si="37"/>
        <v>0</v>
      </c>
      <c r="BV23" s="75">
        <f t="shared" si="38"/>
        <v>0</v>
      </c>
      <c r="BW23" s="75">
        <f t="shared" si="39"/>
        <v>0</v>
      </c>
      <c r="BX23" s="75"/>
      <c r="BY23" s="75"/>
      <c r="BZ23" s="75">
        <f t="shared" si="13"/>
        <v>2200000</v>
      </c>
      <c r="CA23" s="25">
        <f t="shared" si="14"/>
        <v>0.97762713124274103</v>
      </c>
      <c r="CB23" s="75">
        <f t="shared" si="15"/>
        <v>168347392</v>
      </c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>
        <f>+'[1]AGOSTO 2015'!$H$2072</f>
        <v>168347392</v>
      </c>
      <c r="CS23" s="75"/>
      <c r="CT23" s="75"/>
      <c r="CU23" s="75"/>
      <c r="CV23" s="75"/>
      <c r="CW23" s="25">
        <f t="shared" si="16"/>
        <v>2.2372868757258968E-2</v>
      </c>
      <c r="CX23" s="75">
        <f t="shared" si="17"/>
        <v>3852608</v>
      </c>
      <c r="CY23" s="75">
        <f t="shared" si="18"/>
        <v>0</v>
      </c>
      <c r="CZ23" s="75">
        <f t="shared" si="19"/>
        <v>0</v>
      </c>
      <c r="DA23" s="75"/>
      <c r="DB23" s="75">
        <f t="shared" si="20"/>
        <v>0</v>
      </c>
      <c r="DC23" s="75">
        <f t="shared" si="21"/>
        <v>0</v>
      </c>
      <c r="DD23" s="75">
        <f t="shared" si="22"/>
        <v>0</v>
      </c>
      <c r="DE23" s="75">
        <f t="shared" si="23"/>
        <v>0</v>
      </c>
      <c r="DF23" s="75"/>
      <c r="DG23" s="75">
        <f t="shared" si="24"/>
        <v>0</v>
      </c>
      <c r="DH23" s="75">
        <f t="shared" si="25"/>
        <v>0</v>
      </c>
      <c r="DI23" s="75"/>
      <c r="DJ23" s="75">
        <f t="shared" si="26"/>
        <v>0</v>
      </c>
      <c r="DK23" s="75">
        <f t="shared" si="27"/>
        <v>0</v>
      </c>
      <c r="DL23" s="75">
        <f t="shared" si="28"/>
        <v>0</v>
      </c>
      <c r="DM23" s="75">
        <f t="shared" si="29"/>
        <v>0</v>
      </c>
      <c r="DN23" s="75">
        <f t="shared" si="30"/>
        <v>1652608</v>
      </c>
      <c r="DO23" s="75">
        <f t="shared" si="31"/>
        <v>0</v>
      </c>
      <c r="DP23" s="75">
        <f t="shared" si="32"/>
        <v>0</v>
      </c>
      <c r="DQ23" s="75"/>
      <c r="DR23" s="75">
        <f t="shared" si="33"/>
        <v>2200000</v>
      </c>
    </row>
    <row r="24" spans="1:122" ht="53.25" customHeight="1" x14ac:dyDescent="0.25">
      <c r="A24" s="226"/>
      <c r="B24" s="137" t="s">
        <v>456</v>
      </c>
      <c r="C24" s="82" t="s">
        <v>455</v>
      </c>
      <c r="D24" s="81" t="s">
        <v>454</v>
      </c>
      <c r="E24" s="97">
        <v>510</v>
      </c>
      <c r="F24" s="78" t="s">
        <v>428</v>
      </c>
      <c r="G24" s="227">
        <v>180000000</v>
      </c>
      <c r="H24" s="79">
        <f t="shared" si="0"/>
        <v>74373761</v>
      </c>
      <c r="I24" s="79">
        <f t="shared" si="1"/>
        <v>25626239</v>
      </c>
      <c r="J24" s="227" t="s">
        <v>453</v>
      </c>
      <c r="K24" s="233">
        <v>1</v>
      </c>
      <c r="L24" s="227" t="s">
        <v>452</v>
      </c>
      <c r="M24" s="75">
        <f t="shared" si="2"/>
        <v>100000000</v>
      </c>
      <c r="N24" s="75"/>
      <c r="O24" s="75"/>
      <c r="P24" s="75"/>
      <c r="Q24" s="75"/>
      <c r="R24" s="75"/>
      <c r="S24" s="75">
        <v>100000000</v>
      </c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I24" s="25">
        <f t="shared" si="3"/>
        <v>0.79447782</v>
      </c>
      <c r="AJ24" s="75">
        <f t="shared" si="4"/>
        <v>79447782</v>
      </c>
      <c r="AK24" s="75"/>
      <c r="AL24" s="75"/>
      <c r="AM24" s="75"/>
      <c r="AN24" s="75"/>
      <c r="AO24" s="75"/>
      <c r="AP24" s="75">
        <f>+'[2]JULIO 2015'!$O$1878</f>
        <v>79447782</v>
      </c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25">
        <f t="shared" ref="BE24:BE55" si="41">1-AI24</f>
        <v>0.20552218</v>
      </c>
      <c r="BF24" s="75">
        <f t="shared" si="6"/>
        <v>20552218</v>
      </c>
      <c r="BG24" s="75">
        <f t="shared" si="7"/>
        <v>0</v>
      </c>
      <c r="BH24" s="75">
        <f t="shared" si="40"/>
        <v>0</v>
      </c>
      <c r="BI24" s="75"/>
      <c r="BJ24" s="75">
        <f t="shared" si="9"/>
        <v>0</v>
      </c>
      <c r="BK24" s="75"/>
      <c r="BL24" s="75">
        <f t="shared" si="10"/>
        <v>20552218</v>
      </c>
      <c r="BM24" s="75">
        <f t="shared" si="11"/>
        <v>0</v>
      </c>
      <c r="BN24" s="75"/>
      <c r="BO24" s="75">
        <f>+V24-AS24</f>
        <v>0</v>
      </c>
      <c r="BP24" s="75">
        <f>+W24-AT24</f>
        <v>0</v>
      </c>
      <c r="BQ24" s="75">
        <f>+X24-AU24</f>
        <v>0</v>
      </c>
      <c r="BR24" s="75">
        <f t="shared" si="34"/>
        <v>0</v>
      </c>
      <c r="BS24" s="75">
        <f t="shared" si="35"/>
        <v>0</v>
      </c>
      <c r="BT24" s="75">
        <f t="shared" si="36"/>
        <v>0</v>
      </c>
      <c r="BU24" s="75">
        <f t="shared" si="37"/>
        <v>0</v>
      </c>
      <c r="BV24" s="75">
        <f t="shared" si="38"/>
        <v>0</v>
      </c>
      <c r="BW24" s="75">
        <f t="shared" si="39"/>
        <v>0</v>
      </c>
      <c r="BX24" s="75">
        <f>+AE24-BB24</f>
        <v>0</v>
      </c>
      <c r="BY24" s="75">
        <f>+AF24-BC24</f>
        <v>0</v>
      </c>
      <c r="BZ24" s="75">
        <f t="shared" si="13"/>
        <v>0</v>
      </c>
      <c r="CA24" s="25">
        <f t="shared" si="14"/>
        <v>0.74373761000000005</v>
      </c>
      <c r="CB24" s="75">
        <f t="shared" si="15"/>
        <v>74373761</v>
      </c>
      <c r="CC24" s="75"/>
      <c r="CD24" s="75"/>
      <c r="CE24" s="75"/>
      <c r="CF24" s="75"/>
      <c r="CG24" s="75"/>
      <c r="CH24" s="75">
        <f>+'[1]AGOSTO 2015'!$H$2113+'[1]AGOSTO 2015'!$H$2115+'[1]AGOSTO 2015'!$H$2117+'[1]AGOSTO 2015'!$H$2119+'[1]AGOSTO 2015'!$H$2121</f>
        <v>74373761</v>
      </c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25">
        <f t="shared" si="16"/>
        <v>0.25626238999999995</v>
      </c>
      <c r="CX24" s="75">
        <f t="shared" si="17"/>
        <v>25626239</v>
      </c>
      <c r="CY24" s="75">
        <f t="shared" si="18"/>
        <v>0</v>
      </c>
      <c r="CZ24" s="75">
        <f t="shared" si="19"/>
        <v>0</v>
      </c>
      <c r="DA24" s="75"/>
      <c r="DB24" s="75">
        <f t="shared" si="20"/>
        <v>0</v>
      </c>
      <c r="DC24" s="75">
        <f t="shared" si="21"/>
        <v>0</v>
      </c>
      <c r="DD24" s="75">
        <f t="shared" si="22"/>
        <v>25626239</v>
      </c>
      <c r="DE24" s="75">
        <f t="shared" si="23"/>
        <v>0</v>
      </c>
      <c r="DF24" s="75"/>
      <c r="DG24" s="75">
        <f t="shared" si="24"/>
        <v>0</v>
      </c>
      <c r="DH24" s="75">
        <f t="shared" si="25"/>
        <v>0</v>
      </c>
      <c r="DI24" s="75"/>
      <c r="DJ24" s="75">
        <f t="shared" si="26"/>
        <v>0</v>
      </c>
      <c r="DK24" s="75">
        <f t="shared" si="27"/>
        <v>0</v>
      </c>
      <c r="DL24" s="75">
        <f t="shared" si="28"/>
        <v>0</v>
      </c>
      <c r="DM24" s="75">
        <f t="shared" si="29"/>
        <v>0</v>
      </c>
      <c r="DN24" s="75">
        <f t="shared" si="30"/>
        <v>0</v>
      </c>
      <c r="DO24" s="75">
        <f t="shared" si="31"/>
        <v>0</v>
      </c>
      <c r="DP24" s="75">
        <f t="shared" si="32"/>
        <v>0</v>
      </c>
      <c r="DQ24" s="75"/>
      <c r="DR24" s="75">
        <f t="shared" si="33"/>
        <v>0</v>
      </c>
    </row>
    <row r="25" spans="1:122" ht="45" customHeight="1" x14ac:dyDescent="0.25">
      <c r="A25" s="226"/>
      <c r="B25" s="136"/>
      <c r="C25" s="82" t="s">
        <v>451</v>
      </c>
      <c r="D25" s="81" t="s">
        <v>450</v>
      </c>
      <c r="E25" s="97">
        <v>510</v>
      </c>
      <c r="F25" s="78" t="s">
        <v>428</v>
      </c>
      <c r="G25" s="228"/>
      <c r="H25" s="79">
        <f t="shared" si="0"/>
        <v>9897024</v>
      </c>
      <c r="I25" s="79">
        <f t="shared" si="1"/>
        <v>20102976</v>
      </c>
      <c r="J25" s="228"/>
      <c r="K25" s="234"/>
      <c r="L25" s="228"/>
      <c r="M25" s="75">
        <f t="shared" si="2"/>
        <v>30000000</v>
      </c>
      <c r="N25" s="75"/>
      <c r="O25" s="75"/>
      <c r="P25" s="75"/>
      <c r="Q25" s="75"/>
      <c r="R25" s="75"/>
      <c r="S25" s="75">
        <v>20000000</v>
      </c>
      <c r="T25" s="75"/>
      <c r="U25" s="75"/>
      <c r="V25" s="75"/>
      <c r="W25" s="75"/>
      <c r="X25" s="75"/>
      <c r="Y25" s="75"/>
      <c r="Z25" s="75"/>
      <c r="AA25" s="75"/>
      <c r="AB25" s="75">
        <v>10000000</v>
      </c>
      <c r="AC25" s="75"/>
      <c r="AD25" s="75"/>
      <c r="AE25" s="75"/>
      <c r="AF25" s="75"/>
      <c r="AG25" s="75"/>
      <c r="AI25" s="25">
        <f t="shared" si="3"/>
        <v>0.32990079999999999</v>
      </c>
      <c r="AJ25" s="75">
        <f t="shared" si="4"/>
        <v>9897024</v>
      </c>
      <c r="AK25" s="75"/>
      <c r="AL25" s="75"/>
      <c r="AM25" s="75"/>
      <c r="AN25" s="75"/>
      <c r="AO25" s="75"/>
      <c r="AP25" s="75">
        <f>+'[2]JULIO 2015'!$O$1891</f>
        <v>7828112</v>
      </c>
      <c r="AQ25" s="75"/>
      <c r="AR25" s="75"/>
      <c r="AS25" s="75"/>
      <c r="AT25" s="75"/>
      <c r="AU25" s="75"/>
      <c r="AV25" s="75"/>
      <c r="AW25" s="75"/>
      <c r="AX25" s="75"/>
      <c r="AY25" s="75">
        <f>+'[6]JUNIO 2015'!$X$1613</f>
        <v>2068912</v>
      </c>
      <c r="AZ25" s="75"/>
      <c r="BA25" s="75"/>
      <c r="BB25" s="75"/>
      <c r="BC25" s="75"/>
      <c r="BD25" s="75"/>
      <c r="BE25" s="25">
        <f t="shared" si="41"/>
        <v>0.67009920000000001</v>
      </c>
      <c r="BF25" s="75">
        <f t="shared" si="6"/>
        <v>20102976</v>
      </c>
      <c r="BG25" s="75">
        <f t="shared" si="7"/>
        <v>0</v>
      </c>
      <c r="BH25" s="75">
        <f t="shared" si="40"/>
        <v>0</v>
      </c>
      <c r="BI25" s="75"/>
      <c r="BJ25" s="75">
        <f t="shared" si="9"/>
        <v>0</v>
      </c>
      <c r="BK25" s="75"/>
      <c r="BL25" s="75">
        <f t="shared" si="10"/>
        <v>12171888</v>
      </c>
      <c r="BM25" s="75">
        <f t="shared" si="11"/>
        <v>0</v>
      </c>
      <c r="BN25" s="75"/>
      <c r="BO25" s="75"/>
      <c r="BP25" s="75"/>
      <c r="BQ25" s="75"/>
      <c r="BR25" s="75">
        <f t="shared" si="34"/>
        <v>0</v>
      </c>
      <c r="BS25" s="75">
        <f t="shared" si="35"/>
        <v>0</v>
      </c>
      <c r="BT25" s="75">
        <f t="shared" si="36"/>
        <v>0</v>
      </c>
      <c r="BU25" s="75">
        <f t="shared" si="37"/>
        <v>7931088</v>
      </c>
      <c r="BV25" s="75">
        <f t="shared" si="38"/>
        <v>0</v>
      </c>
      <c r="BW25" s="75">
        <f t="shared" si="39"/>
        <v>0</v>
      </c>
      <c r="BX25" s="75"/>
      <c r="BY25" s="75"/>
      <c r="BZ25" s="75">
        <f t="shared" si="13"/>
        <v>0</v>
      </c>
      <c r="CA25" s="25">
        <f t="shared" si="14"/>
        <v>0.32990079999999999</v>
      </c>
      <c r="CB25" s="75">
        <f t="shared" si="15"/>
        <v>9897024</v>
      </c>
      <c r="CC25" s="75"/>
      <c r="CD25" s="75"/>
      <c r="CE25" s="75"/>
      <c r="CF25" s="75"/>
      <c r="CG25" s="75"/>
      <c r="CH25" s="75">
        <f>+'[2]JULIO 2015'!$O$1891</f>
        <v>7828112</v>
      </c>
      <c r="CI25" s="75"/>
      <c r="CJ25" s="75"/>
      <c r="CK25" s="75"/>
      <c r="CL25" s="75"/>
      <c r="CM25" s="75"/>
      <c r="CN25" s="75"/>
      <c r="CO25" s="75"/>
      <c r="CP25" s="75"/>
      <c r="CQ25" s="75">
        <f>+'[6]JUNIO 2015'!$H$1614+'[6]JUNIO 2015'!$H$1615+'[6]JUNIO 2015'!$H$1616</f>
        <v>2068912</v>
      </c>
      <c r="CR25" s="75"/>
      <c r="CS25" s="75"/>
      <c r="CT25" s="75"/>
      <c r="CU25" s="75"/>
      <c r="CV25" s="75"/>
      <c r="CW25" s="25">
        <f t="shared" si="16"/>
        <v>0.67009920000000001</v>
      </c>
      <c r="CX25" s="75">
        <f t="shared" si="17"/>
        <v>20102976</v>
      </c>
      <c r="CY25" s="75">
        <f t="shared" si="18"/>
        <v>0</v>
      </c>
      <c r="CZ25" s="75">
        <f t="shared" si="19"/>
        <v>0</v>
      </c>
      <c r="DA25" s="75"/>
      <c r="DB25" s="75">
        <f t="shared" si="20"/>
        <v>0</v>
      </c>
      <c r="DC25" s="75">
        <f t="shared" si="21"/>
        <v>0</v>
      </c>
      <c r="DD25" s="75">
        <f t="shared" si="22"/>
        <v>12171888</v>
      </c>
      <c r="DE25" s="75">
        <f t="shared" si="23"/>
        <v>0</v>
      </c>
      <c r="DF25" s="75"/>
      <c r="DG25" s="75">
        <f t="shared" si="24"/>
        <v>0</v>
      </c>
      <c r="DH25" s="75">
        <f t="shared" si="25"/>
        <v>0</v>
      </c>
      <c r="DI25" s="75"/>
      <c r="DJ25" s="75">
        <f t="shared" si="26"/>
        <v>0</v>
      </c>
      <c r="DK25" s="75">
        <f t="shared" si="27"/>
        <v>0</v>
      </c>
      <c r="DL25" s="75">
        <f t="shared" si="28"/>
        <v>0</v>
      </c>
      <c r="DM25" s="75">
        <f t="shared" si="29"/>
        <v>7931088</v>
      </c>
      <c r="DN25" s="75">
        <f t="shared" si="30"/>
        <v>0</v>
      </c>
      <c r="DO25" s="75">
        <f t="shared" si="31"/>
        <v>0</v>
      </c>
      <c r="DP25" s="75">
        <f t="shared" si="32"/>
        <v>0</v>
      </c>
      <c r="DQ25" s="75"/>
      <c r="DR25" s="75">
        <f t="shared" si="33"/>
        <v>0</v>
      </c>
    </row>
    <row r="26" spans="1:122" ht="52.5" customHeight="1" x14ac:dyDescent="0.25">
      <c r="A26" s="226"/>
      <c r="B26" s="135"/>
      <c r="C26" s="82" t="s">
        <v>449</v>
      </c>
      <c r="D26" s="81" t="s">
        <v>448</v>
      </c>
      <c r="E26" s="97">
        <v>510</v>
      </c>
      <c r="F26" s="78" t="s">
        <v>428</v>
      </c>
      <c r="G26" s="229"/>
      <c r="H26" s="79">
        <f t="shared" si="0"/>
        <v>0</v>
      </c>
      <c r="I26" s="79">
        <f t="shared" si="1"/>
        <v>60000000</v>
      </c>
      <c r="J26" s="229"/>
      <c r="K26" s="235"/>
      <c r="L26" s="229"/>
      <c r="M26" s="75">
        <f t="shared" si="2"/>
        <v>60000000</v>
      </c>
      <c r="N26" s="75"/>
      <c r="O26" s="75"/>
      <c r="P26" s="75"/>
      <c r="Q26" s="75"/>
      <c r="R26" s="75"/>
      <c r="S26" s="75">
        <v>60000000</v>
      </c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I26" s="25">
        <f t="shared" si="3"/>
        <v>0</v>
      </c>
      <c r="AJ26" s="75">
        <f t="shared" si="4"/>
        <v>0</v>
      </c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25">
        <f t="shared" si="41"/>
        <v>1</v>
      </c>
      <c r="BF26" s="75">
        <f t="shared" si="6"/>
        <v>60000000</v>
      </c>
      <c r="BG26" s="75">
        <f t="shared" si="7"/>
        <v>0</v>
      </c>
      <c r="BH26" s="75">
        <f t="shared" si="40"/>
        <v>0</v>
      </c>
      <c r="BI26" s="75"/>
      <c r="BJ26" s="75">
        <f t="shared" si="9"/>
        <v>0</v>
      </c>
      <c r="BK26" s="75"/>
      <c r="BL26" s="75">
        <f t="shared" si="10"/>
        <v>60000000</v>
      </c>
      <c r="BM26" s="75">
        <f t="shared" si="11"/>
        <v>0</v>
      </c>
      <c r="BN26" s="75"/>
      <c r="BO26" s="75"/>
      <c r="BP26" s="75"/>
      <c r="BQ26" s="75"/>
      <c r="BR26" s="75">
        <f t="shared" si="34"/>
        <v>0</v>
      </c>
      <c r="BS26" s="75">
        <f t="shared" si="35"/>
        <v>0</v>
      </c>
      <c r="BT26" s="75">
        <f t="shared" si="36"/>
        <v>0</v>
      </c>
      <c r="BU26" s="75">
        <f t="shared" si="37"/>
        <v>0</v>
      </c>
      <c r="BV26" s="75">
        <f t="shared" si="38"/>
        <v>0</v>
      </c>
      <c r="BW26" s="75">
        <f t="shared" si="39"/>
        <v>0</v>
      </c>
      <c r="BX26" s="75"/>
      <c r="BY26" s="75"/>
      <c r="BZ26" s="75">
        <f t="shared" si="13"/>
        <v>0</v>
      </c>
      <c r="CA26" s="25">
        <f t="shared" si="14"/>
        <v>0</v>
      </c>
      <c r="CB26" s="75">
        <f t="shared" si="15"/>
        <v>0</v>
      </c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25">
        <f t="shared" si="16"/>
        <v>1</v>
      </c>
      <c r="CX26" s="75">
        <f t="shared" si="17"/>
        <v>60000000</v>
      </c>
      <c r="CY26" s="75">
        <f t="shared" si="18"/>
        <v>0</v>
      </c>
      <c r="CZ26" s="75">
        <f t="shared" si="19"/>
        <v>0</v>
      </c>
      <c r="DA26" s="75"/>
      <c r="DB26" s="75">
        <f t="shared" si="20"/>
        <v>0</v>
      </c>
      <c r="DC26" s="75">
        <f t="shared" si="21"/>
        <v>0</v>
      </c>
      <c r="DD26" s="75">
        <f t="shared" si="22"/>
        <v>60000000</v>
      </c>
      <c r="DE26" s="75">
        <f t="shared" si="23"/>
        <v>0</v>
      </c>
      <c r="DF26" s="75"/>
      <c r="DG26" s="75">
        <f t="shared" si="24"/>
        <v>0</v>
      </c>
      <c r="DH26" s="75">
        <f t="shared" si="25"/>
        <v>0</v>
      </c>
      <c r="DI26" s="75"/>
      <c r="DJ26" s="75">
        <f t="shared" si="26"/>
        <v>0</v>
      </c>
      <c r="DK26" s="75">
        <f t="shared" si="27"/>
        <v>0</v>
      </c>
      <c r="DL26" s="75">
        <f t="shared" si="28"/>
        <v>0</v>
      </c>
      <c r="DM26" s="75">
        <f t="shared" si="29"/>
        <v>0</v>
      </c>
      <c r="DN26" s="75">
        <f t="shared" si="30"/>
        <v>0</v>
      </c>
      <c r="DO26" s="75">
        <f t="shared" si="31"/>
        <v>0</v>
      </c>
      <c r="DP26" s="75">
        <f t="shared" si="32"/>
        <v>0</v>
      </c>
      <c r="DQ26" s="75"/>
      <c r="DR26" s="75">
        <f t="shared" si="33"/>
        <v>0</v>
      </c>
    </row>
    <row r="27" spans="1:122" ht="51" customHeight="1" x14ac:dyDescent="0.25">
      <c r="A27" s="226"/>
      <c r="B27" s="134" t="s">
        <v>447</v>
      </c>
      <c r="C27" s="82" t="s">
        <v>446</v>
      </c>
      <c r="D27" s="81" t="s">
        <v>445</v>
      </c>
      <c r="E27" s="97">
        <v>510</v>
      </c>
      <c r="F27" s="78" t="s">
        <v>428</v>
      </c>
      <c r="G27" s="227">
        <v>80000000</v>
      </c>
      <c r="H27" s="79">
        <f t="shared" si="0"/>
        <v>0</v>
      </c>
      <c r="I27" s="79">
        <f t="shared" si="1"/>
        <v>40000000</v>
      </c>
      <c r="J27" s="227" t="s">
        <v>444</v>
      </c>
      <c r="K27" s="227" t="s">
        <v>443</v>
      </c>
      <c r="L27" s="227" t="s">
        <v>442</v>
      </c>
      <c r="M27" s="75">
        <f t="shared" si="2"/>
        <v>40000000</v>
      </c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>
        <v>40000000</v>
      </c>
      <c r="AB27" s="75"/>
      <c r="AC27" s="75"/>
      <c r="AD27" s="75"/>
      <c r="AE27" s="75"/>
      <c r="AF27" s="75"/>
      <c r="AG27" s="75"/>
      <c r="AI27" s="25">
        <f t="shared" si="3"/>
        <v>0</v>
      </c>
      <c r="AJ27" s="75">
        <f t="shared" si="4"/>
        <v>0</v>
      </c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25">
        <f t="shared" si="41"/>
        <v>1</v>
      </c>
      <c r="BF27" s="75">
        <f t="shared" si="6"/>
        <v>40000000</v>
      </c>
      <c r="BG27" s="75">
        <f t="shared" si="7"/>
        <v>0</v>
      </c>
      <c r="BH27" s="75">
        <f t="shared" si="40"/>
        <v>0</v>
      </c>
      <c r="BI27" s="75"/>
      <c r="BJ27" s="75">
        <f t="shared" si="9"/>
        <v>0</v>
      </c>
      <c r="BK27" s="75"/>
      <c r="BL27" s="75">
        <f t="shared" si="10"/>
        <v>0</v>
      </c>
      <c r="BM27" s="75">
        <f t="shared" si="11"/>
        <v>0</v>
      </c>
      <c r="BN27" s="75"/>
      <c r="BO27" s="75"/>
      <c r="BP27" s="75"/>
      <c r="BQ27" s="75"/>
      <c r="BR27" s="75">
        <f t="shared" si="34"/>
        <v>0</v>
      </c>
      <c r="BS27" s="75">
        <f t="shared" si="35"/>
        <v>0</v>
      </c>
      <c r="BT27" s="75">
        <f t="shared" si="36"/>
        <v>40000000</v>
      </c>
      <c r="BU27" s="75">
        <f t="shared" si="37"/>
        <v>0</v>
      </c>
      <c r="BV27" s="75">
        <f t="shared" si="38"/>
        <v>0</v>
      </c>
      <c r="BW27" s="75">
        <f t="shared" si="39"/>
        <v>0</v>
      </c>
      <c r="BX27" s="75"/>
      <c r="BY27" s="75"/>
      <c r="BZ27" s="75">
        <f t="shared" si="13"/>
        <v>0</v>
      </c>
      <c r="CA27" s="25">
        <f t="shared" si="14"/>
        <v>0</v>
      </c>
      <c r="CB27" s="75">
        <f t="shared" si="15"/>
        <v>0</v>
      </c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  <c r="CR27" s="75"/>
      <c r="CS27" s="75"/>
      <c r="CT27" s="75"/>
      <c r="CU27" s="75"/>
      <c r="CV27" s="75"/>
      <c r="CW27" s="25">
        <f t="shared" si="16"/>
        <v>1</v>
      </c>
      <c r="CX27" s="75">
        <f t="shared" si="17"/>
        <v>40000000</v>
      </c>
      <c r="CY27" s="75">
        <f t="shared" si="18"/>
        <v>0</v>
      </c>
      <c r="CZ27" s="75">
        <f t="shared" si="19"/>
        <v>0</v>
      </c>
      <c r="DA27" s="75"/>
      <c r="DB27" s="75">
        <f t="shared" si="20"/>
        <v>0</v>
      </c>
      <c r="DC27" s="75">
        <f t="shared" si="21"/>
        <v>0</v>
      </c>
      <c r="DD27" s="75">
        <f t="shared" si="22"/>
        <v>0</v>
      </c>
      <c r="DE27" s="75">
        <f t="shared" si="23"/>
        <v>0</v>
      </c>
      <c r="DF27" s="75"/>
      <c r="DG27" s="75">
        <f t="shared" si="24"/>
        <v>0</v>
      </c>
      <c r="DH27" s="75">
        <f t="shared" si="25"/>
        <v>0</v>
      </c>
      <c r="DI27" s="75"/>
      <c r="DJ27" s="75">
        <f t="shared" si="26"/>
        <v>0</v>
      </c>
      <c r="DK27" s="75">
        <f t="shared" si="27"/>
        <v>0</v>
      </c>
      <c r="DL27" s="75">
        <f t="shared" si="28"/>
        <v>40000000</v>
      </c>
      <c r="DM27" s="75">
        <f t="shared" si="29"/>
        <v>0</v>
      </c>
      <c r="DN27" s="75">
        <f t="shared" si="30"/>
        <v>0</v>
      </c>
      <c r="DO27" s="75">
        <f t="shared" si="31"/>
        <v>0</v>
      </c>
      <c r="DP27" s="75">
        <f t="shared" si="32"/>
        <v>0</v>
      </c>
      <c r="DQ27" s="75"/>
      <c r="DR27" s="75">
        <f t="shared" si="33"/>
        <v>0</v>
      </c>
    </row>
    <row r="28" spans="1:122" ht="41.25" customHeight="1" x14ac:dyDescent="0.25">
      <c r="A28" s="226"/>
      <c r="B28" s="134"/>
      <c r="C28" s="82" t="s">
        <v>441</v>
      </c>
      <c r="D28" s="81" t="s">
        <v>440</v>
      </c>
      <c r="E28" s="97">
        <v>510</v>
      </c>
      <c r="F28" s="78" t="s">
        <v>428</v>
      </c>
      <c r="G28" s="228"/>
      <c r="H28" s="79">
        <f t="shared" si="0"/>
        <v>0</v>
      </c>
      <c r="I28" s="79">
        <f t="shared" si="1"/>
        <v>5000000</v>
      </c>
      <c r="J28" s="228"/>
      <c r="K28" s="228"/>
      <c r="L28" s="228"/>
      <c r="M28" s="75">
        <f t="shared" si="2"/>
        <v>5000000</v>
      </c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>
        <v>5000000</v>
      </c>
      <c r="AB28" s="75"/>
      <c r="AC28" s="75"/>
      <c r="AD28" s="75"/>
      <c r="AE28" s="75"/>
      <c r="AF28" s="75"/>
      <c r="AG28" s="75"/>
      <c r="AI28" s="25">
        <f t="shared" si="3"/>
        <v>0</v>
      </c>
      <c r="AJ28" s="75">
        <f t="shared" si="4"/>
        <v>0</v>
      </c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25">
        <f t="shared" si="41"/>
        <v>1</v>
      </c>
      <c r="BF28" s="75">
        <f t="shared" si="6"/>
        <v>5000000</v>
      </c>
      <c r="BG28" s="75">
        <f t="shared" si="7"/>
        <v>0</v>
      </c>
      <c r="BH28" s="75">
        <f t="shared" si="40"/>
        <v>0</v>
      </c>
      <c r="BI28" s="75"/>
      <c r="BJ28" s="75">
        <f t="shared" si="9"/>
        <v>0</v>
      </c>
      <c r="BK28" s="75"/>
      <c r="BL28" s="75">
        <f t="shared" si="10"/>
        <v>0</v>
      </c>
      <c r="BM28" s="75">
        <f t="shared" si="11"/>
        <v>0</v>
      </c>
      <c r="BN28" s="75"/>
      <c r="BO28" s="75"/>
      <c r="BP28" s="75"/>
      <c r="BQ28" s="75"/>
      <c r="BR28" s="75">
        <f t="shared" si="34"/>
        <v>0</v>
      </c>
      <c r="BS28" s="75">
        <f t="shared" si="35"/>
        <v>0</v>
      </c>
      <c r="BT28" s="75">
        <f t="shared" si="36"/>
        <v>5000000</v>
      </c>
      <c r="BU28" s="75">
        <f t="shared" si="37"/>
        <v>0</v>
      </c>
      <c r="BV28" s="75">
        <f t="shared" si="38"/>
        <v>0</v>
      </c>
      <c r="BW28" s="75">
        <f t="shared" si="39"/>
        <v>0</v>
      </c>
      <c r="BX28" s="75"/>
      <c r="BY28" s="75"/>
      <c r="BZ28" s="75">
        <f t="shared" si="13"/>
        <v>0</v>
      </c>
      <c r="CA28" s="25">
        <f t="shared" si="14"/>
        <v>0</v>
      </c>
      <c r="CB28" s="75">
        <f t="shared" si="15"/>
        <v>0</v>
      </c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25">
        <f t="shared" si="16"/>
        <v>1</v>
      </c>
      <c r="CX28" s="75">
        <f t="shared" si="17"/>
        <v>5000000</v>
      </c>
      <c r="CY28" s="75">
        <f t="shared" si="18"/>
        <v>0</v>
      </c>
      <c r="CZ28" s="75">
        <f t="shared" si="19"/>
        <v>0</v>
      </c>
      <c r="DA28" s="75"/>
      <c r="DB28" s="75">
        <f t="shared" si="20"/>
        <v>0</v>
      </c>
      <c r="DC28" s="75">
        <f t="shared" si="21"/>
        <v>0</v>
      </c>
      <c r="DD28" s="75">
        <f t="shared" si="22"/>
        <v>0</v>
      </c>
      <c r="DE28" s="75">
        <f t="shared" si="23"/>
        <v>0</v>
      </c>
      <c r="DF28" s="75"/>
      <c r="DG28" s="75">
        <f t="shared" si="24"/>
        <v>0</v>
      </c>
      <c r="DH28" s="75">
        <f t="shared" si="25"/>
        <v>0</v>
      </c>
      <c r="DI28" s="75"/>
      <c r="DJ28" s="75">
        <f t="shared" si="26"/>
        <v>0</v>
      </c>
      <c r="DK28" s="75">
        <f t="shared" si="27"/>
        <v>0</v>
      </c>
      <c r="DL28" s="75">
        <f t="shared" si="28"/>
        <v>5000000</v>
      </c>
      <c r="DM28" s="75">
        <f t="shared" si="29"/>
        <v>0</v>
      </c>
      <c r="DN28" s="75">
        <f t="shared" si="30"/>
        <v>0</v>
      </c>
      <c r="DO28" s="75">
        <f t="shared" si="31"/>
        <v>0</v>
      </c>
      <c r="DP28" s="75">
        <f t="shared" si="32"/>
        <v>0</v>
      </c>
      <c r="DQ28" s="75"/>
      <c r="DR28" s="75">
        <f t="shared" si="33"/>
        <v>0</v>
      </c>
    </row>
    <row r="29" spans="1:122" ht="42" customHeight="1" x14ac:dyDescent="0.25">
      <c r="A29" s="226"/>
      <c r="B29" s="134"/>
      <c r="C29" s="82" t="s">
        <v>439</v>
      </c>
      <c r="D29" s="81" t="s">
        <v>438</v>
      </c>
      <c r="E29" s="97">
        <v>510</v>
      </c>
      <c r="F29" s="78" t="s">
        <v>428</v>
      </c>
      <c r="G29" s="229"/>
      <c r="H29" s="79">
        <f t="shared" si="0"/>
        <v>0</v>
      </c>
      <c r="I29" s="79">
        <f t="shared" si="1"/>
        <v>65000000</v>
      </c>
      <c r="J29" s="229"/>
      <c r="K29" s="229"/>
      <c r="L29" s="229"/>
      <c r="M29" s="75">
        <f t="shared" si="2"/>
        <v>65000000</v>
      </c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>
        <v>35000000</v>
      </c>
      <c r="AB29" s="75">
        <v>30000000</v>
      </c>
      <c r="AC29" s="75"/>
      <c r="AD29" s="75"/>
      <c r="AE29" s="75"/>
      <c r="AF29" s="75"/>
      <c r="AG29" s="75"/>
      <c r="AI29" s="25">
        <f t="shared" si="3"/>
        <v>0</v>
      </c>
      <c r="AJ29" s="75">
        <f t="shared" si="4"/>
        <v>0</v>
      </c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25">
        <f t="shared" si="41"/>
        <v>1</v>
      </c>
      <c r="BF29" s="75">
        <f t="shared" si="6"/>
        <v>65000000</v>
      </c>
      <c r="BG29" s="75">
        <f t="shared" si="7"/>
        <v>0</v>
      </c>
      <c r="BH29" s="75">
        <f t="shared" si="40"/>
        <v>0</v>
      </c>
      <c r="BI29" s="75"/>
      <c r="BJ29" s="75">
        <f t="shared" si="9"/>
        <v>0</v>
      </c>
      <c r="BK29" s="75"/>
      <c r="BL29" s="75">
        <f t="shared" si="10"/>
        <v>0</v>
      </c>
      <c r="BM29" s="75">
        <f t="shared" si="11"/>
        <v>0</v>
      </c>
      <c r="BN29" s="75"/>
      <c r="BO29" s="75"/>
      <c r="BP29" s="75"/>
      <c r="BQ29" s="75"/>
      <c r="BR29" s="75">
        <f t="shared" si="34"/>
        <v>0</v>
      </c>
      <c r="BS29" s="75">
        <f t="shared" si="35"/>
        <v>0</v>
      </c>
      <c r="BT29" s="75">
        <f t="shared" si="36"/>
        <v>35000000</v>
      </c>
      <c r="BU29" s="75">
        <f t="shared" si="37"/>
        <v>30000000</v>
      </c>
      <c r="BV29" s="75">
        <f t="shared" si="38"/>
        <v>0</v>
      </c>
      <c r="BW29" s="75">
        <f t="shared" si="39"/>
        <v>0</v>
      </c>
      <c r="BX29" s="75"/>
      <c r="BY29" s="75"/>
      <c r="BZ29" s="75">
        <f t="shared" si="13"/>
        <v>0</v>
      </c>
      <c r="CA29" s="25">
        <f t="shared" si="14"/>
        <v>0</v>
      </c>
      <c r="CB29" s="75">
        <f t="shared" si="15"/>
        <v>0</v>
      </c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25">
        <f t="shared" si="16"/>
        <v>1</v>
      </c>
      <c r="CX29" s="75">
        <f t="shared" si="17"/>
        <v>65000000</v>
      </c>
      <c r="CY29" s="75">
        <f t="shared" si="18"/>
        <v>0</v>
      </c>
      <c r="CZ29" s="75">
        <f t="shared" si="19"/>
        <v>0</v>
      </c>
      <c r="DA29" s="75"/>
      <c r="DB29" s="75">
        <f t="shared" si="20"/>
        <v>0</v>
      </c>
      <c r="DC29" s="75">
        <f t="shared" si="21"/>
        <v>0</v>
      </c>
      <c r="DD29" s="75">
        <f t="shared" si="22"/>
        <v>0</v>
      </c>
      <c r="DE29" s="75">
        <f t="shared" si="23"/>
        <v>0</v>
      </c>
      <c r="DF29" s="75"/>
      <c r="DG29" s="75">
        <f t="shared" si="24"/>
        <v>0</v>
      </c>
      <c r="DH29" s="75">
        <f t="shared" si="25"/>
        <v>0</v>
      </c>
      <c r="DI29" s="75"/>
      <c r="DJ29" s="75">
        <f t="shared" si="26"/>
        <v>0</v>
      </c>
      <c r="DK29" s="75">
        <f t="shared" si="27"/>
        <v>0</v>
      </c>
      <c r="DL29" s="75">
        <f t="shared" si="28"/>
        <v>35000000</v>
      </c>
      <c r="DM29" s="75">
        <f t="shared" si="29"/>
        <v>30000000</v>
      </c>
      <c r="DN29" s="75">
        <f t="shared" si="30"/>
        <v>0</v>
      </c>
      <c r="DO29" s="75">
        <f t="shared" si="31"/>
        <v>0</v>
      </c>
      <c r="DP29" s="75">
        <f t="shared" si="32"/>
        <v>0</v>
      </c>
      <c r="DQ29" s="75"/>
      <c r="DR29" s="75">
        <f t="shared" si="33"/>
        <v>0</v>
      </c>
    </row>
    <row r="30" spans="1:122" ht="27.75" customHeight="1" x14ac:dyDescent="0.25">
      <c r="A30" s="226"/>
      <c r="B30" s="236" t="s">
        <v>437</v>
      </c>
      <c r="C30" s="82" t="s">
        <v>436</v>
      </c>
      <c r="D30" s="81" t="s">
        <v>435</v>
      </c>
      <c r="E30" s="97">
        <v>510</v>
      </c>
      <c r="F30" s="78" t="s">
        <v>428</v>
      </c>
      <c r="G30" s="227">
        <v>111000000</v>
      </c>
      <c r="H30" s="79">
        <f t="shared" si="0"/>
        <v>876100</v>
      </c>
      <c r="I30" s="79">
        <f t="shared" si="1"/>
        <v>1123900</v>
      </c>
      <c r="J30" s="227" t="s">
        <v>398</v>
      </c>
      <c r="K30" s="227" t="s">
        <v>434</v>
      </c>
      <c r="L30" s="227" t="s">
        <v>433</v>
      </c>
      <c r="M30" s="75">
        <f t="shared" si="2"/>
        <v>2000000</v>
      </c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>
        <v>2000000</v>
      </c>
      <c r="AB30" s="75"/>
      <c r="AC30" s="75"/>
      <c r="AD30" s="75"/>
      <c r="AE30" s="75"/>
      <c r="AF30" s="75"/>
      <c r="AG30" s="75"/>
      <c r="AI30" s="25">
        <f t="shared" si="3"/>
        <v>0.43804999999999999</v>
      </c>
      <c r="AJ30" s="75">
        <f t="shared" si="4"/>
        <v>876100</v>
      </c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>
        <f>+'[4]MARZO 2015'!$V$1091</f>
        <v>876100</v>
      </c>
      <c r="AY30" s="75"/>
      <c r="AZ30" s="75"/>
      <c r="BA30" s="75"/>
      <c r="BB30" s="75"/>
      <c r="BC30" s="75"/>
      <c r="BD30" s="75"/>
      <c r="BE30" s="25">
        <f t="shared" si="41"/>
        <v>0.56194999999999995</v>
      </c>
      <c r="BF30" s="75">
        <f t="shared" si="6"/>
        <v>1123900</v>
      </c>
      <c r="BG30" s="75">
        <f t="shared" si="7"/>
        <v>0</v>
      </c>
      <c r="BH30" s="75">
        <f t="shared" si="40"/>
        <v>0</v>
      </c>
      <c r="BI30" s="75"/>
      <c r="BJ30" s="75">
        <f t="shared" si="9"/>
        <v>0</v>
      </c>
      <c r="BK30" s="75"/>
      <c r="BL30" s="75">
        <f t="shared" si="10"/>
        <v>0</v>
      </c>
      <c r="BM30" s="75">
        <f t="shared" si="11"/>
        <v>0</v>
      </c>
      <c r="BN30" s="75"/>
      <c r="BO30" s="75"/>
      <c r="BP30" s="75"/>
      <c r="BQ30" s="75"/>
      <c r="BR30" s="75">
        <f t="shared" si="34"/>
        <v>0</v>
      </c>
      <c r="BS30" s="75">
        <f t="shared" si="35"/>
        <v>0</v>
      </c>
      <c r="BT30" s="75">
        <f t="shared" si="36"/>
        <v>1123900</v>
      </c>
      <c r="BU30" s="75">
        <f t="shared" si="37"/>
        <v>0</v>
      </c>
      <c r="BV30" s="75">
        <f t="shared" si="38"/>
        <v>0</v>
      </c>
      <c r="BW30" s="75">
        <f t="shared" si="39"/>
        <v>0</v>
      </c>
      <c r="BX30" s="75"/>
      <c r="BY30" s="75"/>
      <c r="BZ30" s="75">
        <f t="shared" si="13"/>
        <v>0</v>
      </c>
      <c r="CA30" s="25">
        <f t="shared" si="14"/>
        <v>0.43804999999999999</v>
      </c>
      <c r="CB30" s="75">
        <f t="shared" si="15"/>
        <v>876100</v>
      </c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>
        <f>+'[4]MARZO 2015'!$H$1089</f>
        <v>876100</v>
      </c>
      <c r="CQ30" s="75"/>
      <c r="CR30" s="75"/>
      <c r="CS30" s="75"/>
      <c r="CT30" s="75"/>
      <c r="CU30" s="75"/>
      <c r="CV30" s="75"/>
      <c r="CW30" s="25">
        <f t="shared" si="16"/>
        <v>0.56194999999999995</v>
      </c>
      <c r="CX30" s="75">
        <f t="shared" si="17"/>
        <v>1123900</v>
      </c>
      <c r="CY30" s="75">
        <f t="shared" si="18"/>
        <v>0</v>
      </c>
      <c r="CZ30" s="75">
        <f t="shared" si="19"/>
        <v>0</v>
      </c>
      <c r="DA30" s="75"/>
      <c r="DB30" s="75">
        <f t="shared" si="20"/>
        <v>0</v>
      </c>
      <c r="DC30" s="75">
        <f t="shared" si="21"/>
        <v>0</v>
      </c>
      <c r="DD30" s="75">
        <f t="shared" si="22"/>
        <v>0</v>
      </c>
      <c r="DE30" s="75">
        <f t="shared" si="23"/>
        <v>0</v>
      </c>
      <c r="DF30" s="75"/>
      <c r="DG30" s="75">
        <f t="shared" si="24"/>
        <v>0</v>
      </c>
      <c r="DH30" s="75">
        <f t="shared" si="25"/>
        <v>0</v>
      </c>
      <c r="DI30" s="75"/>
      <c r="DJ30" s="75">
        <f t="shared" si="26"/>
        <v>0</v>
      </c>
      <c r="DK30" s="75">
        <f t="shared" si="27"/>
        <v>0</v>
      </c>
      <c r="DL30" s="75">
        <f t="shared" si="28"/>
        <v>1123900</v>
      </c>
      <c r="DM30" s="75">
        <f t="shared" si="29"/>
        <v>0</v>
      </c>
      <c r="DN30" s="75">
        <f t="shared" si="30"/>
        <v>0</v>
      </c>
      <c r="DO30" s="75">
        <f t="shared" si="31"/>
        <v>0</v>
      </c>
      <c r="DP30" s="75">
        <f t="shared" si="32"/>
        <v>0</v>
      </c>
      <c r="DQ30" s="75"/>
      <c r="DR30" s="75">
        <f t="shared" si="33"/>
        <v>0</v>
      </c>
    </row>
    <row r="31" spans="1:122" ht="21" customHeight="1" x14ac:dyDescent="0.25">
      <c r="A31" s="226"/>
      <c r="B31" s="237"/>
      <c r="C31" s="82" t="s">
        <v>432</v>
      </c>
      <c r="D31" s="81" t="s">
        <v>431</v>
      </c>
      <c r="E31" s="97">
        <v>510</v>
      </c>
      <c r="F31" s="78" t="s">
        <v>428</v>
      </c>
      <c r="G31" s="228"/>
      <c r="H31" s="79">
        <f t="shared" si="0"/>
        <v>18163197</v>
      </c>
      <c r="I31" s="79">
        <f t="shared" si="1"/>
        <v>42836803</v>
      </c>
      <c r="J31" s="228"/>
      <c r="K31" s="228"/>
      <c r="L31" s="228"/>
      <c r="M31" s="75">
        <f t="shared" si="2"/>
        <v>61000000</v>
      </c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>
        <v>40000000</v>
      </c>
      <c r="AB31" s="75"/>
      <c r="AC31" s="75"/>
      <c r="AD31" s="75"/>
      <c r="AE31" s="75"/>
      <c r="AF31" s="75"/>
      <c r="AG31" s="75">
        <v>21000000</v>
      </c>
      <c r="AI31" s="25">
        <f t="shared" si="3"/>
        <v>0.57155514754098358</v>
      </c>
      <c r="AJ31" s="75">
        <f t="shared" si="4"/>
        <v>34864864</v>
      </c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>
        <f>+'[1]AGOSTO 2015'!$W$2170</f>
        <v>34864864</v>
      </c>
      <c r="AY31" s="75"/>
      <c r="AZ31" s="75"/>
      <c r="BA31" s="75"/>
      <c r="BB31" s="75"/>
      <c r="BC31" s="75"/>
      <c r="BD31" s="75"/>
      <c r="BE31" s="25">
        <f t="shared" si="41"/>
        <v>0.42844485245901642</v>
      </c>
      <c r="BF31" s="75">
        <f t="shared" si="6"/>
        <v>26135136</v>
      </c>
      <c r="BG31" s="75">
        <f t="shared" si="7"/>
        <v>0</v>
      </c>
      <c r="BH31" s="75">
        <f t="shared" si="40"/>
        <v>0</v>
      </c>
      <c r="BI31" s="75"/>
      <c r="BJ31" s="75">
        <f t="shared" si="9"/>
        <v>0</v>
      </c>
      <c r="BK31" s="75"/>
      <c r="BL31" s="75">
        <f t="shared" si="10"/>
        <v>0</v>
      </c>
      <c r="BM31" s="75">
        <f t="shared" si="11"/>
        <v>0</v>
      </c>
      <c r="BN31" s="75"/>
      <c r="BO31" s="75"/>
      <c r="BP31" s="75"/>
      <c r="BQ31" s="75"/>
      <c r="BR31" s="75">
        <f t="shared" si="34"/>
        <v>0</v>
      </c>
      <c r="BS31" s="75">
        <f t="shared" si="35"/>
        <v>0</v>
      </c>
      <c r="BT31" s="75">
        <f t="shared" si="36"/>
        <v>5135136</v>
      </c>
      <c r="BU31" s="75">
        <f t="shared" si="37"/>
        <v>0</v>
      </c>
      <c r="BV31" s="75">
        <f t="shared" si="38"/>
        <v>0</v>
      </c>
      <c r="BW31" s="75">
        <f t="shared" si="39"/>
        <v>0</v>
      </c>
      <c r="BX31" s="75"/>
      <c r="BY31" s="75"/>
      <c r="BZ31" s="75">
        <f t="shared" si="13"/>
        <v>21000000</v>
      </c>
      <c r="CA31" s="25">
        <f t="shared" si="14"/>
        <v>0.29775732786885245</v>
      </c>
      <c r="CB31" s="75">
        <f t="shared" si="15"/>
        <v>18163197</v>
      </c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>
        <f>+'[1]AGOSTO 2015'!$H$2168</f>
        <v>18163197</v>
      </c>
      <c r="CQ31" s="75"/>
      <c r="CR31" s="75"/>
      <c r="CS31" s="75"/>
      <c r="CT31" s="75"/>
      <c r="CU31" s="75"/>
      <c r="CV31" s="75"/>
      <c r="CW31" s="25">
        <f t="shared" si="16"/>
        <v>0.70224267213114755</v>
      </c>
      <c r="CX31" s="75">
        <f t="shared" si="17"/>
        <v>42836803</v>
      </c>
      <c r="CY31" s="75">
        <f t="shared" si="18"/>
        <v>0</v>
      </c>
      <c r="CZ31" s="75">
        <f t="shared" si="19"/>
        <v>0</v>
      </c>
      <c r="DA31" s="75"/>
      <c r="DB31" s="75">
        <f t="shared" si="20"/>
        <v>0</v>
      </c>
      <c r="DC31" s="75">
        <f t="shared" si="21"/>
        <v>0</v>
      </c>
      <c r="DD31" s="75">
        <f t="shared" si="22"/>
        <v>0</v>
      </c>
      <c r="DE31" s="75">
        <f t="shared" si="23"/>
        <v>0</v>
      </c>
      <c r="DF31" s="75"/>
      <c r="DG31" s="75">
        <f t="shared" si="24"/>
        <v>0</v>
      </c>
      <c r="DH31" s="75">
        <f t="shared" si="25"/>
        <v>0</v>
      </c>
      <c r="DI31" s="75"/>
      <c r="DJ31" s="75">
        <f t="shared" si="26"/>
        <v>0</v>
      </c>
      <c r="DK31" s="75">
        <f t="shared" si="27"/>
        <v>0</v>
      </c>
      <c r="DL31" s="75">
        <f t="shared" si="28"/>
        <v>21836803</v>
      </c>
      <c r="DM31" s="75">
        <f t="shared" si="29"/>
        <v>0</v>
      </c>
      <c r="DN31" s="75">
        <f t="shared" si="30"/>
        <v>0</v>
      </c>
      <c r="DO31" s="75">
        <f t="shared" si="31"/>
        <v>0</v>
      </c>
      <c r="DP31" s="75">
        <f t="shared" si="32"/>
        <v>0</v>
      </c>
      <c r="DQ31" s="75"/>
      <c r="DR31" s="75">
        <f t="shared" si="33"/>
        <v>21000000</v>
      </c>
    </row>
    <row r="32" spans="1:122" ht="29.25" customHeight="1" x14ac:dyDescent="0.25">
      <c r="A32" s="226"/>
      <c r="B32" s="237"/>
      <c r="C32" s="82" t="s">
        <v>430</v>
      </c>
      <c r="D32" s="81" t="s">
        <v>429</v>
      </c>
      <c r="E32" s="97">
        <v>510</v>
      </c>
      <c r="F32" s="78" t="s">
        <v>428</v>
      </c>
      <c r="G32" s="228"/>
      <c r="H32" s="79">
        <f t="shared" si="0"/>
        <v>10640000</v>
      </c>
      <c r="I32" s="79">
        <f t="shared" si="1"/>
        <v>39360000</v>
      </c>
      <c r="J32" s="228"/>
      <c r="K32" s="228"/>
      <c r="L32" s="228"/>
      <c r="M32" s="75">
        <f t="shared" si="2"/>
        <v>50000000</v>
      </c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>
        <v>40000000</v>
      </c>
      <c r="AB32" s="75">
        <v>10000000</v>
      </c>
      <c r="AC32" s="75"/>
      <c r="AD32" s="75"/>
      <c r="AE32" s="75"/>
      <c r="AF32" s="75"/>
      <c r="AG32" s="75"/>
      <c r="AI32" s="25">
        <f t="shared" si="3"/>
        <v>0.95281987999999995</v>
      </c>
      <c r="AJ32" s="75">
        <f t="shared" si="4"/>
        <v>47640994</v>
      </c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>
        <f>+'[6]JUNIO 2015'!$W$1673</f>
        <v>40000000</v>
      </c>
      <c r="AY32" s="75">
        <f>+'[6]JUNIO 2015'!$X$1673</f>
        <v>7640994</v>
      </c>
      <c r="AZ32" s="75"/>
      <c r="BA32" s="75"/>
      <c r="BB32" s="75"/>
      <c r="BC32" s="75"/>
      <c r="BD32" s="75"/>
      <c r="BE32" s="25">
        <f t="shared" si="41"/>
        <v>4.7180120000000048E-2</v>
      </c>
      <c r="BF32" s="75">
        <f t="shared" si="6"/>
        <v>2359006</v>
      </c>
      <c r="BG32" s="75">
        <f t="shared" si="7"/>
        <v>0</v>
      </c>
      <c r="BH32" s="75">
        <f t="shared" si="40"/>
        <v>0</v>
      </c>
      <c r="BI32" s="75"/>
      <c r="BJ32" s="75">
        <f t="shared" si="9"/>
        <v>0</v>
      </c>
      <c r="BK32" s="75"/>
      <c r="BL32" s="75">
        <f t="shared" si="10"/>
        <v>0</v>
      </c>
      <c r="BM32" s="75">
        <f t="shared" si="11"/>
        <v>0</v>
      </c>
      <c r="BN32" s="75"/>
      <c r="BO32" s="75"/>
      <c r="BP32" s="75"/>
      <c r="BQ32" s="75"/>
      <c r="BR32" s="75">
        <f t="shared" si="34"/>
        <v>0</v>
      </c>
      <c r="BS32" s="75">
        <f t="shared" si="35"/>
        <v>0</v>
      </c>
      <c r="BT32" s="75">
        <f t="shared" si="36"/>
        <v>0</v>
      </c>
      <c r="BU32" s="75">
        <f t="shared" si="37"/>
        <v>2359006</v>
      </c>
      <c r="BV32" s="75">
        <f t="shared" si="38"/>
        <v>0</v>
      </c>
      <c r="BW32" s="75">
        <f t="shared" si="39"/>
        <v>0</v>
      </c>
      <c r="BX32" s="75"/>
      <c r="BY32" s="75"/>
      <c r="BZ32" s="75">
        <f t="shared" si="13"/>
        <v>0</v>
      </c>
      <c r="CA32" s="25">
        <f t="shared" si="14"/>
        <v>0.21279999999999999</v>
      </c>
      <c r="CB32" s="75">
        <f t="shared" si="15"/>
        <v>10640000</v>
      </c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>
        <f>+'[2]JULIO 2015'!$W$1957</f>
        <v>3000000</v>
      </c>
      <c r="CQ32" s="75">
        <f>+'[2]JULIO 2015'!$H$1958-CP32</f>
        <v>7640000</v>
      </c>
      <c r="CR32" s="75"/>
      <c r="CS32" s="75"/>
      <c r="CT32" s="75"/>
      <c r="CU32" s="75"/>
      <c r="CV32" s="75"/>
      <c r="CW32" s="25">
        <f t="shared" si="16"/>
        <v>0.78720000000000001</v>
      </c>
      <c r="CX32" s="75">
        <f t="shared" si="17"/>
        <v>39360000</v>
      </c>
      <c r="CY32" s="75">
        <f t="shared" si="18"/>
        <v>0</v>
      </c>
      <c r="CZ32" s="75">
        <f t="shared" si="19"/>
        <v>0</v>
      </c>
      <c r="DA32" s="75"/>
      <c r="DB32" s="75">
        <f t="shared" si="20"/>
        <v>0</v>
      </c>
      <c r="DC32" s="75">
        <f t="shared" si="21"/>
        <v>0</v>
      </c>
      <c r="DD32" s="75">
        <f t="shared" si="22"/>
        <v>0</v>
      </c>
      <c r="DE32" s="75">
        <f t="shared" si="23"/>
        <v>0</v>
      </c>
      <c r="DF32" s="75"/>
      <c r="DG32" s="75">
        <f t="shared" si="24"/>
        <v>0</v>
      </c>
      <c r="DH32" s="75">
        <f t="shared" si="25"/>
        <v>0</v>
      </c>
      <c r="DI32" s="75"/>
      <c r="DJ32" s="75">
        <f t="shared" si="26"/>
        <v>0</v>
      </c>
      <c r="DK32" s="75">
        <f t="shared" si="27"/>
        <v>0</v>
      </c>
      <c r="DL32" s="75">
        <f t="shared" si="28"/>
        <v>37000000</v>
      </c>
      <c r="DM32" s="75">
        <f t="shared" si="29"/>
        <v>2360000</v>
      </c>
      <c r="DN32" s="75">
        <f t="shared" si="30"/>
        <v>0</v>
      </c>
      <c r="DO32" s="75">
        <f t="shared" si="31"/>
        <v>0</v>
      </c>
      <c r="DP32" s="75">
        <f t="shared" si="32"/>
        <v>0</v>
      </c>
      <c r="DQ32" s="75"/>
      <c r="DR32" s="75">
        <f t="shared" si="33"/>
        <v>0</v>
      </c>
    </row>
    <row r="33" spans="1:122" ht="31.5" customHeight="1" x14ac:dyDescent="0.25">
      <c r="A33" s="226"/>
      <c r="B33" s="238"/>
      <c r="C33" s="82" t="s">
        <v>427</v>
      </c>
      <c r="D33" s="81" t="s">
        <v>426</v>
      </c>
      <c r="E33" s="97">
        <v>510</v>
      </c>
      <c r="F33" s="78" t="s">
        <v>425</v>
      </c>
      <c r="G33" s="229"/>
      <c r="H33" s="79">
        <f t="shared" si="0"/>
        <v>949220</v>
      </c>
      <c r="I33" s="79">
        <f t="shared" si="1"/>
        <v>12050780</v>
      </c>
      <c r="J33" s="229"/>
      <c r="K33" s="229"/>
      <c r="L33" s="229"/>
      <c r="M33" s="75">
        <f t="shared" si="2"/>
        <v>13000000</v>
      </c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>
        <v>8000000</v>
      </c>
      <c r="AB33" s="75"/>
      <c r="AC33" s="75"/>
      <c r="AD33" s="75"/>
      <c r="AE33" s="75"/>
      <c r="AF33" s="75"/>
      <c r="AG33" s="75">
        <v>5000000</v>
      </c>
      <c r="AI33" s="25">
        <f t="shared" si="3"/>
        <v>0.45763230769230767</v>
      </c>
      <c r="AJ33" s="75">
        <f t="shared" si="4"/>
        <v>5949220</v>
      </c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>
        <f>+'[3]ABRIL 2015'!$V$1318</f>
        <v>949220</v>
      </c>
      <c r="AY33" s="75"/>
      <c r="AZ33" s="75"/>
      <c r="BA33" s="75"/>
      <c r="BB33" s="75"/>
      <c r="BC33" s="75"/>
      <c r="BD33" s="75">
        <f>+'[2]JULIO 2015'!$AD$1962</f>
        <v>5000000</v>
      </c>
      <c r="BE33" s="25">
        <f t="shared" si="41"/>
        <v>0.54236769230769233</v>
      </c>
      <c r="BF33" s="75">
        <f t="shared" si="6"/>
        <v>7050780</v>
      </c>
      <c r="BG33" s="75">
        <f t="shared" si="7"/>
        <v>0</v>
      </c>
      <c r="BH33" s="75">
        <f t="shared" si="40"/>
        <v>0</v>
      </c>
      <c r="BI33" s="75"/>
      <c r="BJ33" s="75">
        <f t="shared" si="9"/>
        <v>0</v>
      </c>
      <c r="BK33" s="75"/>
      <c r="BL33" s="75">
        <f t="shared" si="10"/>
        <v>0</v>
      </c>
      <c r="BM33" s="75">
        <f t="shared" si="11"/>
        <v>0</v>
      </c>
      <c r="BN33" s="75"/>
      <c r="BO33" s="75"/>
      <c r="BP33" s="75"/>
      <c r="BQ33" s="75"/>
      <c r="BR33" s="75">
        <f t="shared" si="34"/>
        <v>0</v>
      </c>
      <c r="BS33" s="75">
        <f t="shared" si="35"/>
        <v>0</v>
      </c>
      <c r="BT33" s="75">
        <f t="shared" si="36"/>
        <v>7050780</v>
      </c>
      <c r="BU33" s="75">
        <f t="shared" si="37"/>
        <v>0</v>
      </c>
      <c r="BV33" s="75">
        <f t="shared" si="38"/>
        <v>0</v>
      </c>
      <c r="BW33" s="75">
        <f t="shared" si="39"/>
        <v>0</v>
      </c>
      <c r="BX33" s="75"/>
      <c r="BY33" s="75"/>
      <c r="BZ33" s="75">
        <f t="shared" si="13"/>
        <v>0</v>
      </c>
      <c r="CA33" s="25">
        <f t="shared" si="14"/>
        <v>7.3016923076923076E-2</v>
      </c>
      <c r="CB33" s="75">
        <f t="shared" si="15"/>
        <v>949220</v>
      </c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>
        <f>+'[3]ABRIL 2015'!$H$1316</f>
        <v>949220</v>
      </c>
      <c r="CQ33" s="75"/>
      <c r="CR33" s="75"/>
      <c r="CS33" s="75"/>
      <c r="CT33" s="75"/>
      <c r="CU33" s="75"/>
      <c r="CV33" s="75"/>
      <c r="CW33" s="25">
        <f t="shared" si="16"/>
        <v>0.92698307692307691</v>
      </c>
      <c r="CX33" s="75">
        <f t="shared" si="17"/>
        <v>12050780</v>
      </c>
      <c r="CY33" s="75">
        <f t="shared" si="18"/>
        <v>0</v>
      </c>
      <c r="CZ33" s="75">
        <f t="shared" si="19"/>
        <v>0</v>
      </c>
      <c r="DA33" s="75"/>
      <c r="DB33" s="75">
        <f>Q33-CF33</f>
        <v>0</v>
      </c>
      <c r="DC33" s="75"/>
      <c r="DD33" s="75">
        <f>S33-CH33</f>
        <v>0</v>
      </c>
      <c r="DE33" s="75">
        <f>T33-CI33</f>
        <v>0</v>
      </c>
      <c r="DF33" s="75"/>
      <c r="DG33" s="75">
        <f t="shared" si="24"/>
        <v>0</v>
      </c>
      <c r="DH33" s="75">
        <f t="shared" si="25"/>
        <v>0</v>
      </c>
      <c r="DI33" s="75"/>
      <c r="DJ33" s="75">
        <f t="shared" si="26"/>
        <v>0</v>
      </c>
      <c r="DK33" s="75">
        <f t="shared" si="27"/>
        <v>0</v>
      </c>
      <c r="DL33" s="75">
        <f t="shared" si="28"/>
        <v>7050780</v>
      </c>
      <c r="DM33" s="75">
        <f t="shared" si="29"/>
        <v>0</v>
      </c>
      <c r="DN33" s="75">
        <f t="shared" si="30"/>
        <v>0</v>
      </c>
      <c r="DO33" s="75">
        <f t="shared" si="31"/>
        <v>0</v>
      </c>
      <c r="DP33" s="75">
        <f t="shared" si="32"/>
        <v>0</v>
      </c>
      <c r="DQ33" s="75"/>
      <c r="DR33" s="75">
        <f t="shared" si="33"/>
        <v>5000000</v>
      </c>
    </row>
    <row r="34" spans="1:122" s="68" customFormat="1" ht="28.5" customHeight="1" thickBot="1" x14ac:dyDescent="0.3">
      <c r="A34" s="133"/>
      <c r="B34" s="230" t="s">
        <v>424</v>
      </c>
      <c r="C34" s="231"/>
      <c r="D34" s="231"/>
      <c r="E34" s="232"/>
      <c r="F34" s="123"/>
      <c r="G34" s="131">
        <f>SUM(G4:G33)</f>
        <v>1741000000</v>
      </c>
      <c r="H34" s="131">
        <f>SUM(H4:H33)</f>
        <v>788223117</v>
      </c>
      <c r="I34" s="131">
        <f>SUM(I4:I33)</f>
        <v>1113885646</v>
      </c>
      <c r="J34" s="122"/>
      <c r="K34" s="122"/>
      <c r="L34" s="122"/>
      <c r="M34" s="131">
        <f t="shared" ref="M34:AG34" si="42">SUM(M4:M33)</f>
        <v>1902108763</v>
      </c>
      <c r="N34" s="131">
        <f t="shared" si="42"/>
        <v>0</v>
      </c>
      <c r="O34" s="131">
        <f t="shared" si="42"/>
        <v>0</v>
      </c>
      <c r="P34" s="131">
        <f t="shared" si="42"/>
        <v>0</v>
      </c>
      <c r="Q34" s="131">
        <f t="shared" si="42"/>
        <v>0</v>
      </c>
      <c r="R34" s="131">
        <f t="shared" si="42"/>
        <v>0</v>
      </c>
      <c r="S34" s="131">
        <f t="shared" si="42"/>
        <v>680000000</v>
      </c>
      <c r="T34" s="131">
        <f t="shared" si="42"/>
        <v>321985144</v>
      </c>
      <c r="U34" s="131">
        <f t="shared" si="42"/>
        <v>0</v>
      </c>
      <c r="V34" s="131">
        <f t="shared" si="42"/>
        <v>0</v>
      </c>
      <c r="W34" s="131">
        <f t="shared" si="42"/>
        <v>0</v>
      </c>
      <c r="X34" s="131">
        <f t="shared" si="42"/>
        <v>0</v>
      </c>
      <c r="Y34" s="131">
        <f t="shared" si="42"/>
        <v>0</v>
      </c>
      <c r="Z34" s="131">
        <f t="shared" si="42"/>
        <v>0</v>
      </c>
      <c r="AA34" s="131">
        <f t="shared" si="42"/>
        <v>270000000</v>
      </c>
      <c r="AB34" s="131">
        <f t="shared" si="42"/>
        <v>211000000</v>
      </c>
      <c r="AC34" s="131">
        <f t="shared" si="42"/>
        <v>220000000</v>
      </c>
      <c r="AD34" s="131">
        <f t="shared" si="42"/>
        <v>0</v>
      </c>
      <c r="AE34" s="131">
        <f t="shared" si="42"/>
        <v>0</v>
      </c>
      <c r="AF34" s="131">
        <f t="shared" si="42"/>
        <v>0</v>
      </c>
      <c r="AG34" s="131">
        <f t="shared" si="42"/>
        <v>199123619</v>
      </c>
      <c r="AH34" s="132"/>
      <c r="AI34" s="70">
        <f t="shared" si="3"/>
        <v>0.5189686484820637</v>
      </c>
      <c r="AJ34" s="131">
        <f>SUM(AJ4:AJ33)</f>
        <v>987134814</v>
      </c>
      <c r="AK34" s="131">
        <f>SUM(AK4:AK33)</f>
        <v>0</v>
      </c>
      <c r="AL34" s="131">
        <f>SUM(AL4:AL33)</f>
        <v>0</v>
      </c>
      <c r="AM34" s="131"/>
      <c r="AN34" s="131">
        <f t="shared" ref="AN34:BD34" si="43">SUM(AN4:AN33)</f>
        <v>0</v>
      </c>
      <c r="AO34" s="131">
        <f t="shared" si="43"/>
        <v>0</v>
      </c>
      <c r="AP34" s="131">
        <f t="shared" si="43"/>
        <v>289479122</v>
      </c>
      <c r="AQ34" s="131">
        <f t="shared" si="43"/>
        <v>179680675</v>
      </c>
      <c r="AR34" s="131">
        <f t="shared" si="43"/>
        <v>0</v>
      </c>
      <c r="AS34" s="131">
        <f t="shared" si="43"/>
        <v>0</v>
      </c>
      <c r="AT34" s="131">
        <f t="shared" si="43"/>
        <v>0</v>
      </c>
      <c r="AU34" s="131">
        <f t="shared" si="43"/>
        <v>0</v>
      </c>
      <c r="AV34" s="131">
        <f t="shared" si="43"/>
        <v>0</v>
      </c>
      <c r="AW34" s="131">
        <f t="shared" si="43"/>
        <v>0</v>
      </c>
      <c r="AX34" s="131">
        <f t="shared" si="43"/>
        <v>126214863</v>
      </c>
      <c r="AY34" s="131">
        <f t="shared" si="43"/>
        <v>9709906</v>
      </c>
      <c r="AZ34" s="131">
        <f t="shared" si="43"/>
        <v>220000000</v>
      </c>
      <c r="BA34" s="131">
        <f t="shared" si="43"/>
        <v>0</v>
      </c>
      <c r="BB34" s="131">
        <f t="shared" si="43"/>
        <v>0</v>
      </c>
      <c r="BC34" s="131">
        <f t="shared" si="43"/>
        <v>0</v>
      </c>
      <c r="BD34" s="131">
        <f t="shared" si="43"/>
        <v>162050248</v>
      </c>
      <c r="BE34" s="70">
        <f t="shared" si="41"/>
        <v>0.4810313515179363</v>
      </c>
      <c r="BF34" s="131">
        <f t="shared" ref="BF34:BZ34" si="44">SUM(BF4:BF33)</f>
        <v>914973949</v>
      </c>
      <c r="BG34" s="131">
        <f t="shared" si="44"/>
        <v>0</v>
      </c>
      <c r="BH34" s="131">
        <f t="shared" si="44"/>
        <v>0</v>
      </c>
      <c r="BI34" s="131">
        <f t="shared" si="44"/>
        <v>0</v>
      </c>
      <c r="BJ34" s="131">
        <f t="shared" si="44"/>
        <v>0</v>
      </c>
      <c r="BK34" s="131">
        <f t="shared" si="44"/>
        <v>0</v>
      </c>
      <c r="BL34" s="131">
        <f t="shared" si="44"/>
        <v>390520878</v>
      </c>
      <c r="BM34" s="131">
        <f t="shared" si="44"/>
        <v>142304469</v>
      </c>
      <c r="BN34" s="131">
        <f t="shared" si="44"/>
        <v>0</v>
      </c>
      <c r="BO34" s="131">
        <f t="shared" si="44"/>
        <v>0</v>
      </c>
      <c r="BP34" s="131">
        <f t="shared" si="44"/>
        <v>0</v>
      </c>
      <c r="BQ34" s="131">
        <f t="shared" si="44"/>
        <v>0</v>
      </c>
      <c r="BR34" s="131">
        <f t="shared" si="44"/>
        <v>0</v>
      </c>
      <c r="BS34" s="131">
        <f t="shared" si="44"/>
        <v>0</v>
      </c>
      <c r="BT34" s="131">
        <f t="shared" si="44"/>
        <v>143785137</v>
      </c>
      <c r="BU34" s="131">
        <f t="shared" si="44"/>
        <v>201290094</v>
      </c>
      <c r="BV34" s="131">
        <f t="shared" si="44"/>
        <v>0</v>
      </c>
      <c r="BW34" s="131">
        <f t="shared" si="44"/>
        <v>0</v>
      </c>
      <c r="BX34" s="131">
        <f t="shared" si="44"/>
        <v>0</v>
      </c>
      <c r="BY34" s="131">
        <f t="shared" si="44"/>
        <v>0</v>
      </c>
      <c r="BZ34" s="131">
        <f t="shared" si="44"/>
        <v>37073371</v>
      </c>
      <c r="CA34" s="70">
        <f t="shared" si="14"/>
        <v>0.41439434607136605</v>
      </c>
      <c r="CB34" s="131">
        <f>SUM(CB4:CB33)</f>
        <v>788223117</v>
      </c>
      <c r="CC34" s="131">
        <f>SUM(CC4:CC33)</f>
        <v>0</v>
      </c>
      <c r="CD34" s="131">
        <f>SUM(CD4:CD33)</f>
        <v>0</v>
      </c>
      <c r="CE34" s="131"/>
      <c r="CF34" s="131">
        <f t="shared" ref="CF34:CV34" si="45">SUM(CF4:CF33)</f>
        <v>0</v>
      </c>
      <c r="CG34" s="131">
        <f t="shared" si="45"/>
        <v>0</v>
      </c>
      <c r="CH34" s="131">
        <f t="shared" si="45"/>
        <v>280857251</v>
      </c>
      <c r="CI34" s="131">
        <f t="shared" si="45"/>
        <v>171931109</v>
      </c>
      <c r="CJ34" s="131">
        <f t="shared" si="45"/>
        <v>0</v>
      </c>
      <c r="CK34" s="131">
        <f t="shared" si="45"/>
        <v>0</v>
      </c>
      <c r="CL34" s="131">
        <f t="shared" si="45"/>
        <v>0</v>
      </c>
      <c r="CM34" s="131">
        <f t="shared" si="45"/>
        <v>0</v>
      </c>
      <c r="CN34" s="131">
        <f t="shared" si="45"/>
        <v>0</v>
      </c>
      <c r="CO34" s="131">
        <f t="shared" si="45"/>
        <v>0</v>
      </c>
      <c r="CP34" s="131">
        <f t="shared" si="45"/>
        <v>72513196</v>
      </c>
      <c r="CQ34" s="131">
        <f t="shared" si="45"/>
        <v>9708912</v>
      </c>
      <c r="CR34" s="131">
        <f t="shared" si="45"/>
        <v>168347392</v>
      </c>
      <c r="CS34" s="131">
        <f t="shared" si="45"/>
        <v>0</v>
      </c>
      <c r="CT34" s="131">
        <f t="shared" si="45"/>
        <v>0</v>
      </c>
      <c r="CU34" s="131">
        <f t="shared" si="45"/>
        <v>0</v>
      </c>
      <c r="CV34" s="131">
        <f t="shared" si="45"/>
        <v>84865257</v>
      </c>
      <c r="CW34" s="121">
        <f t="shared" si="16"/>
        <v>0.58560565392863395</v>
      </c>
      <c r="CX34" s="131">
        <f>SUM(CX4:CX33)</f>
        <v>1113885646</v>
      </c>
      <c r="CY34" s="131">
        <f>SUM(CY4:CY33)</f>
        <v>0</v>
      </c>
      <c r="CZ34" s="131">
        <f>SUM(CZ4:CZ33)</f>
        <v>0</v>
      </c>
      <c r="DA34" s="131"/>
      <c r="DB34" s="131">
        <f t="shared" ref="DB34:DR34" si="46">SUM(DB4:DB33)</f>
        <v>0</v>
      </c>
      <c r="DC34" s="131">
        <f t="shared" si="46"/>
        <v>0</v>
      </c>
      <c r="DD34" s="131">
        <f t="shared" si="46"/>
        <v>399142749</v>
      </c>
      <c r="DE34" s="131">
        <f t="shared" si="46"/>
        <v>150054035</v>
      </c>
      <c r="DF34" s="131">
        <f t="shared" si="46"/>
        <v>0</v>
      </c>
      <c r="DG34" s="131">
        <f t="shared" si="46"/>
        <v>0</v>
      </c>
      <c r="DH34" s="131">
        <f t="shared" si="46"/>
        <v>0</v>
      </c>
      <c r="DI34" s="131">
        <f t="shared" si="46"/>
        <v>0</v>
      </c>
      <c r="DJ34" s="131">
        <f t="shared" si="46"/>
        <v>0</v>
      </c>
      <c r="DK34" s="131">
        <f t="shared" si="46"/>
        <v>0</v>
      </c>
      <c r="DL34" s="131">
        <f t="shared" si="46"/>
        <v>197486804</v>
      </c>
      <c r="DM34" s="131">
        <f t="shared" si="46"/>
        <v>201291088</v>
      </c>
      <c r="DN34" s="131">
        <f t="shared" si="46"/>
        <v>51652608</v>
      </c>
      <c r="DO34" s="131">
        <f t="shared" si="46"/>
        <v>0</v>
      </c>
      <c r="DP34" s="131">
        <f t="shared" si="46"/>
        <v>0</v>
      </c>
      <c r="DQ34" s="131">
        <f t="shared" si="46"/>
        <v>0</v>
      </c>
      <c r="DR34" s="130">
        <f t="shared" si="46"/>
        <v>114258362</v>
      </c>
    </row>
    <row r="35" spans="1:122" ht="59.25" customHeight="1" thickTop="1" x14ac:dyDescent="0.25">
      <c r="A35" s="225" t="s">
        <v>423</v>
      </c>
      <c r="B35" s="119" t="s">
        <v>422</v>
      </c>
      <c r="C35" s="82" t="s">
        <v>421</v>
      </c>
      <c r="D35" s="81" t="s">
        <v>420</v>
      </c>
      <c r="E35" s="97">
        <v>410</v>
      </c>
      <c r="F35" s="78" t="s">
        <v>214</v>
      </c>
      <c r="G35" s="240">
        <v>1000000000</v>
      </c>
      <c r="H35" s="79">
        <f t="shared" ref="H35:H66" si="47">+CB35</f>
        <v>611824441</v>
      </c>
      <c r="I35" s="79">
        <f t="shared" ref="I35:I66" si="48">M35-H35</f>
        <v>11996440</v>
      </c>
      <c r="J35" s="129" t="s">
        <v>419</v>
      </c>
      <c r="K35" s="129" t="s">
        <v>418</v>
      </c>
      <c r="L35" s="129" t="s">
        <v>417</v>
      </c>
      <c r="M35" s="75">
        <f t="shared" ref="M35:M66" si="49">SUM(N35:AG35)</f>
        <v>623820881</v>
      </c>
      <c r="N35" s="117"/>
      <c r="O35" s="115">
        <f>100000000+180000000-280000000</f>
        <v>0</v>
      </c>
      <c r="P35" s="115">
        <v>280000000</v>
      </c>
      <c r="Q35" s="75">
        <f>300000000+220000000-216179119</f>
        <v>303820881</v>
      </c>
      <c r="R35" s="117"/>
      <c r="S35" s="75">
        <f>20000000+20000000</f>
        <v>40000000</v>
      </c>
      <c r="T35" s="115">
        <f>400000000-180000000-220000000</f>
        <v>0</v>
      </c>
      <c r="U35" s="117"/>
      <c r="V35" s="117"/>
      <c r="W35" s="117"/>
      <c r="X35" s="117"/>
      <c r="Y35" s="59"/>
      <c r="Z35" s="117"/>
      <c r="AA35" s="117"/>
      <c r="AB35" s="117"/>
      <c r="AC35" s="117"/>
      <c r="AD35" s="117"/>
      <c r="AE35" s="117"/>
      <c r="AF35" s="117"/>
      <c r="AG35" s="117"/>
      <c r="AI35" s="183">
        <f t="shared" si="3"/>
        <v>1</v>
      </c>
      <c r="AJ35" s="75">
        <f t="shared" ref="AJ35:AJ66" si="50">SUM(AK35:BD35)</f>
        <v>623820881</v>
      </c>
      <c r="AK35" s="75"/>
      <c r="AL35" s="75"/>
      <c r="AM35" s="75">
        <v>280000000</v>
      </c>
      <c r="AN35" s="75">
        <f>+'[6]JUNIO 2015'!$M$866</f>
        <v>303820881</v>
      </c>
      <c r="AO35" s="75"/>
      <c r="AP35" s="75">
        <f>+'[6]JUNIO 2015'!$O$866</f>
        <v>40000000</v>
      </c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183">
        <f t="shared" si="41"/>
        <v>0</v>
      </c>
      <c r="BF35" s="75">
        <f t="shared" ref="BF35:BF66" si="51">SUM(BG35:BZ35)</f>
        <v>0</v>
      </c>
      <c r="BG35" s="75">
        <f t="shared" ref="BG35:BG58" si="52">+N35-AK35</f>
        <v>0</v>
      </c>
      <c r="BH35" s="75">
        <f t="shared" ref="BH35:BJ37" si="53">O35-AL35</f>
        <v>0</v>
      </c>
      <c r="BI35" s="75">
        <f t="shared" si="53"/>
        <v>0</v>
      </c>
      <c r="BJ35" s="75">
        <f t="shared" si="53"/>
        <v>0</v>
      </c>
      <c r="BK35" s="75"/>
      <c r="BL35" s="75">
        <f t="shared" ref="BL35:BL58" si="54">+S35-AP35</f>
        <v>0</v>
      </c>
      <c r="BM35" s="75">
        <f t="shared" ref="BM35:BM58" si="55">+T35-AQ35</f>
        <v>0</v>
      </c>
      <c r="BN35" s="75"/>
      <c r="BO35" s="75"/>
      <c r="BP35" s="75">
        <f t="shared" ref="BP35:BP42" si="56">+W35-AT35</f>
        <v>0</v>
      </c>
      <c r="BQ35" s="75"/>
      <c r="BR35" s="75">
        <f t="shared" ref="BR35:BR54" si="57">+Y35-AV35</f>
        <v>0</v>
      </c>
      <c r="BS35" s="75">
        <f t="shared" ref="BS35:BS54" si="58">+Z35-AW35</f>
        <v>0</v>
      </c>
      <c r="BT35" s="75">
        <f t="shared" ref="BT35:BT54" si="59">+AA35-AX35</f>
        <v>0</v>
      </c>
      <c r="BU35" s="75">
        <f t="shared" ref="BU35:BU54" si="60">+AB35-AY35</f>
        <v>0</v>
      </c>
      <c r="BV35" s="75">
        <f t="shared" ref="BV35:BV54" si="61">+AC35-AZ35</f>
        <v>0</v>
      </c>
      <c r="BW35" s="75">
        <f t="shared" ref="BW35:BW54" si="62">+AD35-BA35</f>
        <v>0</v>
      </c>
      <c r="BX35" s="75"/>
      <c r="BY35" s="75"/>
      <c r="BZ35" s="75">
        <f t="shared" ref="BZ35:BZ66" si="63">+AG35-BD35</f>
        <v>0</v>
      </c>
      <c r="CA35" s="183">
        <f t="shared" si="14"/>
        <v>0.98076941576439469</v>
      </c>
      <c r="CB35" s="75">
        <f t="shared" ref="CB35:CB66" si="64">SUM(CC35:CV35)</f>
        <v>611824441</v>
      </c>
      <c r="CC35" s="75"/>
      <c r="CD35" s="75"/>
      <c r="CE35" s="75">
        <f>+'[7]MAYO 2015'!$H$730+'[7]MAYO 2015'!$H$740</f>
        <v>280000000</v>
      </c>
      <c r="CF35" s="75">
        <f>+'[6]JUNIO 2015'!$H$871+'[6]JUNIO 2015'!$H$882</f>
        <v>303820881</v>
      </c>
      <c r="CG35" s="75"/>
      <c r="CH35" s="75">
        <f>+'[2]JULIO 2015'!$H$1039</f>
        <v>28003560</v>
      </c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25">
        <f t="shared" si="16"/>
        <v>1.9230584235605308E-2</v>
      </c>
      <c r="CX35" s="75">
        <f t="shared" ref="CX35:CX66" si="65">SUM(CY35:DR35)</f>
        <v>11996440</v>
      </c>
      <c r="CY35" s="75"/>
      <c r="CZ35" s="75">
        <f t="shared" ref="CZ35:DB37" si="66">O35-CD35</f>
        <v>0</v>
      </c>
      <c r="DA35" s="75">
        <f t="shared" si="66"/>
        <v>0</v>
      </c>
      <c r="DB35" s="75">
        <f t="shared" si="66"/>
        <v>0</v>
      </c>
      <c r="DC35" s="75"/>
      <c r="DD35" s="75">
        <f t="shared" ref="DD35:DD58" si="67">S35-CH35</f>
        <v>11996440</v>
      </c>
      <c r="DE35" s="75">
        <f t="shared" ref="DE35:DE58" si="68">T35-CI35</f>
        <v>0</v>
      </c>
      <c r="DF35" s="75"/>
      <c r="DG35" s="75">
        <f t="shared" ref="DG35:DG58" si="69">+V35-CK35</f>
        <v>0</v>
      </c>
      <c r="DH35" s="75">
        <f t="shared" ref="DH35:DH58" si="70">+W35-CL35</f>
        <v>0</v>
      </c>
      <c r="DI35" s="75"/>
      <c r="DJ35" s="75">
        <f t="shared" ref="DJ35:DJ58" si="71">Y35-CN35</f>
        <v>0</v>
      </c>
      <c r="DK35" s="75">
        <f t="shared" ref="DK35:DK58" si="72">Z35-CO35</f>
        <v>0</v>
      </c>
      <c r="DL35" s="75">
        <f t="shared" ref="DL35:DL58" si="73">AA35-CP35</f>
        <v>0</v>
      </c>
      <c r="DM35" s="75">
        <f t="shared" ref="DM35:DM58" si="74">+AB35-CQ35</f>
        <v>0</v>
      </c>
      <c r="DN35" s="75">
        <f t="shared" ref="DN35:DN58" si="75">+AC35-CR35</f>
        <v>0</v>
      </c>
      <c r="DO35" s="75">
        <f t="shared" ref="DO35:DO58" si="76">+AD35-CS35</f>
        <v>0</v>
      </c>
      <c r="DP35" s="75">
        <f t="shared" ref="DP35:DP58" si="77">+AE35-CT35</f>
        <v>0</v>
      </c>
      <c r="DQ35" s="75"/>
      <c r="DR35" s="75">
        <f t="shared" ref="DR35:DR66" si="78">+AG35-CV35</f>
        <v>0</v>
      </c>
    </row>
    <row r="36" spans="1:122" ht="33" customHeight="1" x14ac:dyDescent="0.25">
      <c r="A36" s="226"/>
      <c r="B36" s="81"/>
      <c r="C36" s="82" t="s">
        <v>416</v>
      </c>
      <c r="D36" s="81" t="s">
        <v>415</v>
      </c>
      <c r="E36" s="97">
        <v>410</v>
      </c>
      <c r="F36" s="78" t="s">
        <v>214</v>
      </c>
      <c r="G36" s="228"/>
      <c r="H36" s="79">
        <f t="shared" si="47"/>
        <v>7649518</v>
      </c>
      <c r="I36" s="79">
        <f t="shared" si="48"/>
        <v>0</v>
      </c>
      <c r="J36" s="78" t="s">
        <v>414</v>
      </c>
      <c r="K36" s="78" t="s">
        <v>413</v>
      </c>
      <c r="L36" s="78" t="s">
        <v>412</v>
      </c>
      <c r="M36" s="75">
        <f t="shared" si="49"/>
        <v>7649518</v>
      </c>
      <c r="N36" s="75"/>
      <c r="O36" s="75">
        <f>100000000-92350482</f>
        <v>7649518</v>
      </c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I36" s="25">
        <f t="shared" ref="AI36:AI67" si="79">+AJ36/M36</f>
        <v>1</v>
      </c>
      <c r="AJ36" s="75">
        <f t="shared" si="50"/>
        <v>7649518</v>
      </c>
      <c r="AK36" s="75"/>
      <c r="AL36" s="75">
        <v>7649518</v>
      </c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25">
        <f t="shared" si="41"/>
        <v>0</v>
      </c>
      <c r="BF36" s="75">
        <f t="shared" si="51"/>
        <v>0</v>
      </c>
      <c r="BG36" s="75">
        <f t="shared" si="52"/>
        <v>0</v>
      </c>
      <c r="BH36" s="75">
        <f t="shared" si="53"/>
        <v>0</v>
      </c>
      <c r="BI36" s="75">
        <f t="shared" si="53"/>
        <v>0</v>
      </c>
      <c r="BJ36" s="75">
        <f t="shared" si="53"/>
        <v>0</v>
      </c>
      <c r="BK36" s="75"/>
      <c r="BL36" s="75">
        <f t="shared" si="54"/>
        <v>0</v>
      </c>
      <c r="BM36" s="75">
        <f t="shared" si="55"/>
        <v>0</v>
      </c>
      <c r="BN36" s="75"/>
      <c r="BO36" s="75"/>
      <c r="BP36" s="75">
        <f t="shared" si="56"/>
        <v>0</v>
      </c>
      <c r="BQ36" s="75"/>
      <c r="BR36" s="75">
        <f t="shared" si="57"/>
        <v>0</v>
      </c>
      <c r="BS36" s="75">
        <f t="shared" si="58"/>
        <v>0</v>
      </c>
      <c r="BT36" s="75">
        <f t="shared" si="59"/>
        <v>0</v>
      </c>
      <c r="BU36" s="75">
        <f t="shared" si="60"/>
        <v>0</v>
      </c>
      <c r="BV36" s="75">
        <f t="shared" si="61"/>
        <v>0</v>
      </c>
      <c r="BW36" s="75">
        <f t="shared" si="62"/>
        <v>0</v>
      </c>
      <c r="BX36" s="75"/>
      <c r="BY36" s="75"/>
      <c r="BZ36" s="75">
        <f t="shared" si="63"/>
        <v>0</v>
      </c>
      <c r="CA36" s="25">
        <f t="shared" ref="CA36:CA67" si="80">+CB36/M36</f>
        <v>1</v>
      </c>
      <c r="CB36" s="75">
        <f t="shared" si="64"/>
        <v>7649518</v>
      </c>
      <c r="CC36" s="75"/>
      <c r="CD36" s="75">
        <f>+'[6]JUNIO 2015'!$K$891</f>
        <v>7649518</v>
      </c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25">
        <f t="shared" ref="CW36:CW67" si="81">1-CA36</f>
        <v>0</v>
      </c>
      <c r="CX36" s="75">
        <f t="shared" si="65"/>
        <v>0</v>
      </c>
      <c r="CY36" s="75"/>
      <c r="CZ36" s="75">
        <f t="shared" si="66"/>
        <v>0</v>
      </c>
      <c r="DA36" s="75">
        <f t="shared" si="66"/>
        <v>0</v>
      </c>
      <c r="DB36" s="75">
        <f t="shared" si="66"/>
        <v>0</v>
      </c>
      <c r="DC36" s="75"/>
      <c r="DD36" s="75">
        <f t="shared" si="67"/>
        <v>0</v>
      </c>
      <c r="DE36" s="75">
        <f t="shared" si="68"/>
        <v>0</v>
      </c>
      <c r="DF36" s="75"/>
      <c r="DG36" s="75">
        <f t="shared" si="69"/>
        <v>0</v>
      </c>
      <c r="DH36" s="75">
        <f t="shared" si="70"/>
        <v>0</v>
      </c>
      <c r="DI36" s="75"/>
      <c r="DJ36" s="75">
        <f t="shared" si="71"/>
        <v>0</v>
      </c>
      <c r="DK36" s="75">
        <f t="shared" si="72"/>
        <v>0</v>
      </c>
      <c r="DL36" s="75">
        <f t="shared" si="73"/>
        <v>0</v>
      </c>
      <c r="DM36" s="75">
        <f t="shared" si="74"/>
        <v>0</v>
      </c>
      <c r="DN36" s="75">
        <f t="shared" si="75"/>
        <v>0</v>
      </c>
      <c r="DO36" s="75">
        <f t="shared" si="76"/>
        <v>0</v>
      </c>
      <c r="DP36" s="75">
        <f t="shared" si="77"/>
        <v>0</v>
      </c>
      <c r="DQ36" s="75"/>
      <c r="DR36" s="75">
        <f t="shared" si="78"/>
        <v>0</v>
      </c>
    </row>
    <row r="37" spans="1:122" ht="48.75" customHeight="1" x14ac:dyDescent="0.25">
      <c r="A37" s="226"/>
      <c r="B37" s="81"/>
      <c r="C37" s="82" t="s">
        <v>411</v>
      </c>
      <c r="D37" s="81" t="s">
        <v>410</v>
      </c>
      <c r="E37" s="97">
        <v>410</v>
      </c>
      <c r="F37" s="78" t="s">
        <v>214</v>
      </c>
      <c r="G37" s="229"/>
      <c r="H37" s="79">
        <f t="shared" si="47"/>
        <v>123114984</v>
      </c>
      <c r="I37" s="79">
        <f t="shared" si="48"/>
        <v>1252839</v>
      </c>
      <c r="J37" s="78" t="s">
        <v>409</v>
      </c>
      <c r="K37" s="78" t="s">
        <v>408</v>
      </c>
      <c r="L37" s="78" t="s">
        <v>407</v>
      </c>
      <c r="M37" s="75">
        <f t="shared" si="49"/>
        <v>124367823</v>
      </c>
      <c r="N37" s="75"/>
      <c r="O37" s="75">
        <f>100000000-38824072</f>
        <v>61175928</v>
      </c>
      <c r="P37" s="75"/>
      <c r="Q37" s="75"/>
      <c r="R37" s="75"/>
      <c r="S37" s="75">
        <v>50000000</v>
      </c>
      <c r="T37" s="75"/>
      <c r="U37" s="75"/>
      <c r="V37" s="75"/>
      <c r="W37" s="75"/>
      <c r="X37" s="75"/>
      <c r="Y37" s="75"/>
      <c r="Z37" s="75"/>
      <c r="AA37" s="75"/>
      <c r="AB37" s="75"/>
      <c r="AC37" s="75">
        <v>13191895</v>
      </c>
      <c r="AD37" s="75"/>
      <c r="AE37" s="75"/>
      <c r="AF37" s="75"/>
      <c r="AG37" s="75"/>
      <c r="AI37" s="25">
        <f t="shared" si="79"/>
        <v>1</v>
      </c>
      <c r="AJ37" s="75">
        <f t="shared" si="50"/>
        <v>124367823</v>
      </c>
      <c r="AK37" s="75"/>
      <c r="AL37" s="75">
        <f>+'[6]JUNIO 2015'!$K$897</f>
        <v>61175928</v>
      </c>
      <c r="AM37" s="75"/>
      <c r="AN37" s="75"/>
      <c r="AO37" s="75"/>
      <c r="AP37" s="75">
        <f>+'[6]JUNIO 2015'!$O$897</f>
        <v>50000000</v>
      </c>
      <c r="AQ37" s="75"/>
      <c r="AR37" s="75"/>
      <c r="AS37" s="75"/>
      <c r="AT37" s="75"/>
      <c r="AU37" s="75"/>
      <c r="AV37" s="75"/>
      <c r="AW37" s="75"/>
      <c r="AX37" s="75"/>
      <c r="AY37" s="75"/>
      <c r="AZ37" s="75">
        <f>+'[2]JULIO 2015'!$Y$1052</f>
        <v>13191895</v>
      </c>
      <c r="BA37" s="75"/>
      <c r="BB37" s="75"/>
      <c r="BC37" s="75"/>
      <c r="BD37" s="75"/>
      <c r="BE37" s="25">
        <f t="shared" si="41"/>
        <v>0</v>
      </c>
      <c r="BF37" s="75">
        <f t="shared" si="51"/>
        <v>0</v>
      </c>
      <c r="BG37" s="75">
        <f t="shared" si="52"/>
        <v>0</v>
      </c>
      <c r="BH37" s="75">
        <f t="shared" si="53"/>
        <v>0</v>
      </c>
      <c r="BI37" s="75">
        <f t="shared" si="53"/>
        <v>0</v>
      </c>
      <c r="BJ37" s="75">
        <f t="shared" si="53"/>
        <v>0</v>
      </c>
      <c r="BK37" s="75"/>
      <c r="BL37" s="75">
        <f t="shared" si="54"/>
        <v>0</v>
      </c>
      <c r="BM37" s="75">
        <f t="shared" si="55"/>
        <v>0</v>
      </c>
      <c r="BN37" s="75"/>
      <c r="BO37" s="75"/>
      <c r="BP37" s="75">
        <f t="shared" si="56"/>
        <v>0</v>
      </c>
      <c r="BQ37" s="75"/>
      <c r="BR37" s="75">
        <f t="shared" si="57"/>
        <v>0</v>
      </c>
      <c r="BS37" s="75">
        <f t="shared" si="58"/>
        <v>0</v>
      </c>
      <c r="BT37" s="75">
        <f t="shared" si="59"/>
        <v>0</v>
      </c>
      <c r="BU37" s="75">
        <f t="shared" si="60"/>
        <v>0</v>
      </c>
      <c r="BV37" s="75">
        <f t="shared" si="61"/>
        <v>0</v>
      </c>
      <c r="BW37" s="75">
        <f t="shared" si="62"/>
        <v>0</v>
      </c>
      <c r="BX37" s="75"/>
      <c r="BY37" s="75"/>
      <c r="BZ37" s="75">
        <f t="shared" si="63"/>
        <v>0</v>
      </c>
      <c r="CA37" s="25">
        <f t="shared" si="80"/>
        <v>0.98992634131740009</v>
      </c>
      <c r="CB37" s="75">
        <f t="shared" si="64"/>
        <v>123114984</v>
      </c>
      <c r="CC37" s="75"/>
      <c r="CD37" s="75">
        <f>+'[6]JUNIO 2015'!$H$898</f>
        <v>61175928</v>
      </c>
      <c r="CE37" s="75"/>
      <c r="CF37" s="75"/>
      <c r="CG37" s="75"/>
      <c r="CH37" s="75">
        <f>+'[1]AGOSTO 2015'!$H$1208</f>
        <v>48747161</v>
      </c>
      <c r="CI37" s="75"/>
      <c r="CJ37" s="75"/>
      <c r="CK37" s="75"/>
      <c r="CL37" s="75"/>
      <c r="CM37" s="75"/>
      <c r="CN37" s="75"/>
      <c r="CO37" s="75"/>
      <c r="CP37" s="75"/>
      <c r="CQ37" s="75"/>
      <c r="CR37" s="75">
        <f>+'[2]JULIO 2015'!$H$1079</f>
        <v>13191895</v>
      </c>
      <c r="CS37" s="75"/>
      <c r="CT37" s="75"/>
      <c r="CU37" s="75"/>
      <c r="CV37" s="75"/>
      <c r="CW37" s="25">
        <f t="shared" si="81"/>
        <v>1.0073658682599906E-2</v>
      </c>
      <c r="CX37" s="75">
        <f t="shared" si="65"/>
        <v>1252839</v>
      </c>
      <c r="CY37" s="75"/>
      <c r="CZ37" s="75">
        <f t="shared" si="66"/>
        <v>0</v>
      </c>
      <c r="DA37" s="75">
        <f t="shared" si="66"/>
        <v>0</v>
      </c>
      <c r="DB37" s="75">
        <f t="shared" si="66"/>
        <v>0</v>
      </c>
      <c r="DC37" s="75"/>
      <c r="DD37" s="75">
        <f t="shared" si="67"/>
        <v>1252839</v>
      </c>
      <c r="DE37" s="75">
        <f t="shared" si="68"/>
        <v>0</v>
      </c>
      <c r="DF37" s="75"/>
      <c r="DG37" s="75">
        <f t="shared" si="69"/>
        <v>0</v>
      </c>
      <c r="DH37" s="75">
        <f t="shared" si="70"/>
        <v>0</v>
      </c>
      <c r="DI37" s="75"/>
      <c r="DJ37" s="75">
        <f t="shared" si="71"/>
        <v>0</v>
      </c>
      <c r="DK37" s="75">
        <f t="shared" si="72"/>
        <v>0</v>
      </c>
      <c r="DL37" s="75">
        <f t="shared" si="73"/>
        <v>0</v>
      </c>
      <c r="DM37" s="75">
        <f t="shared" si="74"/>
        <v>0</v>
      </c>
      <c r="DN37" s="75">
        <f t="shared" si="75"/>
        <v>0</v>
      </c>
      <c r="DO37" s="75">
        <f t="shared" si="76"/>
        <v>0</v>
      </c>
      <c r="DP37" s="75">
        <f t="shared" si="77"/>
        <v>0</v>
      </c>
      <c r="DQ37" s="75"/>
      <c r="DR37" s="75">
        <f t="shared" si="78"/>
        <v>0</v>
      </c>
    </row>
    <row r="38" spans="1:122" ht="32.25" customHeight="1" x14ac:dyDescent="0.25">
      <c r="A38" s="226"/>
      <c r="B38" s="81" t="s">
        <v>406</v>
      </c>
      <c r="C38" s="82" t="s">
        <v>405</v>
      </c>
      <c r="D38" s="81" t="s">
        <v>404</v>
      </c>
      <c r="E38" s="97">
        <v>410</v>
      </c>
      <c r="F38" s="78" t="s">
        <v>214</v>
      </c>
      <c r="G38" s="227">
        <v>170000000</v>
      </c>
      <c r="H38" s="79">
        <f t="shared" si="47"/>
        <v>0</v>
      </c>
      <c r="I38" s="79">
        <f t="shared" si="48"/>
        <v>10000000</v>
      </c>
      <c r="J38" s="78" t="s">
        <v>403</v>
      </c>
      <c r="K38" s="78" t="s">
        <v>402</v>
      </c>
      <c r="L38" s="78" t="s">
        <v>401</v>
      </c>
      <c r="M38" s="75">
        <f t="shared" si="49"/>
        <v>10000000</v>
      </c>
      <c r="N38" s="75"/>
      <c r="O38" s="75"/>
      <c r="P38" s="75"/>
      <c r="Q38" s="75"/>
      <c r="R38" s="75"/>
      <c r="S38" s="75">
        <v>10000000</v>
      </c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I38" s="25">
        <f t="shared" si="79"/>
        <v>1</v>
      </c>
      <c r="AJ38" s="75">
        <f t="shared" si="50"/>
        <v>10000000</v>
      </c>
      <c r="AK38" s="75"/>
      <c r="AL38" s="75"/>
      <c r="AM38" s="75"/>
      <c r="AN38" s="75"/>
      <c r="AO38" s="75"/>
      <c r="AP38" s="75">
        <f>+'[8]FEBRERO 2015'!$N$490</f>
        <v>10000000</v>
      </c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25">
        <f t="shared" si="41"/>
        <v>0</v>
      </c>
      <c r="BF38" s="75">
        <f t="shared" si="51"/>
        <v>0</v>
      </c>
      <c r="BG38" s="75">
        <f t="shared" si="52"/>
        <v>0</v>
      </c>
      <c r="BH38" s="75"/>
      <c r="BI38" s="75">
        <f t="shared" ref="BI38:BI58" si="82">P38-AM38</f>
        <v>0</v>
      </c>
      <c r="BJ38" s="75">
        <f t="shared" ref="BJ38:BJ58" si="83">Q38-AN38</f>
        <v>0</v>
      </c>
      <c r="BK38" s="75"/>
      <c r="BL38" s="75">
        <f t="shared" si="54"/>
        <v>0</v>
      </c>
      <c r="BM38" s="75">
        <f t="shared" si="55"/>
        <v>0</v>
      </c>
      <c r="BN38" s="75"/>
      <c r="BO38" s="75">
        <f>+V38-AS38</f>
        <v>0</v>
      </c>
      <c r="BP38" s="75">
        <f t="shared" si="56"/>
        <v>0</v>
      </c>
      <c r="BQ38" s="75">
        <f>+X38-AU38</f>
        <v>0</v>
      </c>
      <c r="BR38" s="75">
        <f t="shared" si="57"/>
        <v>0</v>
      </c>
      <c r="BS38" s="75">
        <f t="shared" si="58"/>
        <v>0</v>
      </c>
      <c r="BT38" s="75">
        <f t="shared" si="59"/>
        <v>0</v>
      </c>
      <c r="BU38" s="75">
        <f t="shared" si="60"/>
        <v>0</v>
      </c>
      <c r="BV38" s="75">
        <f t="shared" si="61"/>
        <v>0</v>
      </c>
      <c r="BW38" s="75">
        <f t="shared" si="62"/>
        <v>0</v>
      </c>
      <c r="BX38" s="75"/>
      <c r="BY38" s="75"/>
      <c r="BZ38" s="75">
        <f t="shared" si="63"/>
        <v>0</v>
      </c>
      <c r="CA38" s="25">
        <f t="shared" si="80"/>
        <v>0</v>
      </c>
      <c r="CB38" s="75">
        <f t="shared" si="64"/>
        <v>0</v>
      </c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25">
        <f t="shared" si="81"/>
        <v>1</v>
      </c>
      <c r="CX38" s="75">
        <f t="shared" si="65"/>
        <v>10000000</v>
      </c>
      <c r="CY38" s="75"/>
      <c r="CZ38" s="75"/>
      <c r="DA38" s="75"/>
      <c r="DB38" s="75"/>
      <c r="DC38" s="75"/>
      <c r="DD38" s="75">
        <f t="shared" si="67"/>
        <v>10000000</v>
      </c>
      <c r="DE38" s="75">
        <f t="shared" si="68"/>
        <v>0</v>
      </c>
      <c r="DF38" s="75"/>
      <c r="DG38" s="75">
        <f t="shared" si="69"/>
        <v>0</v>
      </c>
      <c r="DH38" s="75">
        <f t="shared" si="70"/>
        <v>0</v>
      </c>
      <c r="DI38" s="75"/>
      <c r="DJ38" s="75">
        <f t="shared" si="71"/>
        <v>0</v>
      </c>
      <c r="DK38" s="75">
        <f t="shared" si="72"/>
        <v>0</v>
      </c>
      <c r="DL38" s="75">
        <f t="shared" si="73"/>
        <v>0</v>
      </c>
      <c r="DM38" s="75">
        <f t="shared" si="74"/>
        <v>0</v>
      </c>
      <c r="DN38" s="75">
        <f t="shared" si="75"/>
        <v>0</v>
      </c>
      <c r="DO38" s="75">
        <f t="shared" si="76"/>
        <v>0</v>
      </c>
      <c r="DP38" s="75">
        <f t="shared" si="77"/>
        <v>0</v>
      </c>
      <c r="DQ38" s="75"/>
      <c r="DR38" s="75">
        <f t="shared" si="78"/>
        <v>0</v>
      </c>
    </row>
    <row r="39" spans="1:122" ht="33" customHeight="1" x14ac:dyDescent="0.25">
      <c r="A39" s="226"/>
      <c r="B39" s="81"/>
      <c r="C39" s="82" t="s">
        <v>400</v>
      </c>
      <c r="D39" s="81" t="s">
        <v>399</v>
      </c>
      <c r="E39" s="97">
        <v>410</v>
      </c>
      <c r="F39" s="78" t="s">
        <v>214</v>
      </c>
      <c r="G39" s="228"/>
      <c r="H39" s="79">
        <f t="shared" si="47"/>
        <v>60634173</v>
      </c>
      <c r="I39" s="79">
        <f t="shared" si="48"/>
        <v>120209912</v>
      </c>
      <c r="J39" s="78" t="s">
        <v>398</v>
      </c>
      <c r="K39" s="78" t="s">
        <v>397</v>
      </c>
      <c r="L39" s="78" t="s">
        <v>396</v>
      </c>
      <c r="M39" s="75">
        <f t="shared" si="49"/>
        <v>180844085</v>
      </c>
      <c r="N39" s="75"/>
      <c r="O39" s="75"/>
      <c r="P39" s="75"/>
      <c r="Q39" s="75"/>
      <c r="R39" s="75"/>
      <c r="S39" s="75">
        <v>20000000</v>
      </c>
      <c r="T39" s="75"/>
      <c r="U39" s="75"/>
      <c r="V39" s="75"/>
      <c r="W39" s="75"/>
      <c r="X39" s="75"/>
      <c r="Y39" s="75"/>
      <c r="Z39" s="75"/>
      <c r="AA39" s="75"/>
      <c r="AB39" s="75">
        <f>100000000-20000000</f>
        <v>80000000</v>
      </c>
      <c r="AC39" s="75"/>
      <c r="AD39" s="75"/>
      <c r="AE39" s="75">
        <v>80844085</v>
      </c>
      <c r="AF39" s="75"/>
      <c r="AG39" s="75"/>
      <c r="AI39" s="25">
        <f t="shared" si="79"/>
        <v>0.91178572967979576</v>
      </c>
      <c r="AJ39" s="75">
        <f t="shared" si="50"/>
        <v>164891056</v>
      </c>
      <c r="AK39" s="75"/>
      <c r="AL39" s="75"/>
      <c r="AM39" s="75"/>
      <c r="AN39" s="75"/>
      <c r="AO39" s="75"/>
      <c r="AP39" s="75">
        <f>+'[8]FEBRERO 2015'!$N$495</f>
        <v>20000000</v>
      </c>
      <c r="AQ39" s="75"/>
      <c r="AR39" s="75"/>
      <c r="AS39" s="75"/>
      <c r="AT39" s="75"/>
      <c r="AU39" s="75"/>
      <c r="AV39" s="75"/>
      <c r="AW39" s="75"/>
      <c r="AX39" s="75"/>
      <c r="AY39" s="75">
        <f>+'[2]JULIO 2015'!$X$1091</f>
        <v>64046971</v>
      </c>
      <c r="AZ39" s="75"/>
      <c r="BA39" s="75"/>
      <c r="BB39" s="75">
        <f>+'[4]MARZO 2015'!$Z$635</f>
        <v>80844085</v>
      </c>
      <c r="BC39" s="75"/>
      <c r="BD39" s="75"/>
      <c r="BE39" s="25">
        <f t="shared" si="41"/>
        <v>8.8214270320204236E-2</v>
      </c>
      <c r="BF39" s="75">
        <f t="shared" si="51"/>
        <v>15953029</v>
      </c>
      <c r="BG39" s="75">
        <f t="shared" si="52"/>
        <v>0</v>
      </c>
      <c r="BH39" s="75"/>
      <c r="BI39" s="75">
        <f t="shared" si="82"/>
        <v>0</v>
      </c>
      <c r="BJ39" s="75">
        <f t="shared" si="83"/>
        <v>0</v>
      </c>
      <c r="BK39" s="75"/>
      <c r="BL39" s="75">
        <f t="shared" si="54"/>
        <v>0</v>
      </c>
      <c r="BM39" s="75">
        <f t="shared" si="55"/>
        <v>0</v>
      </c>
      <c r="BN39" s="75"/>
      <c r="BO39" s="75">
        <f>+V39-AS39</f>
        <v>0</v>
      </c>
      <c r="BP39" s="75">
        <f t="shared" si="56"/>
        <v>0</v>
      </c>
      <c r="BQ39" s="75">
        <f>+X39-AU39</f>
        <v>0</v>
      </c>
      <c r="BR39" s="75">
        <f t="shared" si="57"/>
        <v>0</v>
      </c>
      <c r="BS39" s="75">
        <f t="shared" si="58"/>
        <v>0</v>
      </c>
      <c r="BT39" s="75">
        <f t="shared" si="59"/>
        <v>0</v>
      </c>
      <c r="BU39" s="75">
        <f t="shared" si="60"/>
        <v>15953029</v>
      </c>
      <c r="BV39" s="75">
        <f t="shared" si="61"/>
        <v>0</v>
      </c>
      <c r="BW39" s="75">
        <f t="shared" si="62"/>
        <v>0</v>
      </c>
      <c r="BX39" s="75"/>
      <c r="BY39" s="75"/>
      <c r="BZ39" s="75">
        <f t="shared" si="63"/>
        <v>0</v>
      </c>
      <c r="CA39" s="25">
        <f t="shared" si="80"/>
        <v>0.33528424775408056</v>
      </c>
      <c r="CB39" s="75">
        <f t="shared" si="64"/>
        <v>60634173</v>
      </c>
      <c r="CC39" s="75"/>
      <c r="CD39" s="75"/>
      <c r="CE39" s="75"/>
      <c r="CF39" s="75"/>
      <c r="CG39" s="75"/>
      <c r="CH39" s="75">
        <f>+'[6]JUNIO 2015'!$H$924</f>
        <v>20000000</v>
      </c>
      <c r="CI39" s="75"/>
      <c r="CJ39" s="75"/>
      <c r="CK39" s="75"/>
      <c r="CL39" s="75"/>
      <c r="CM39" s="75"/>
      <c r="CN39" s="75"/>
      <c r="CO39" s="75"/>
      <c r="CP39" s="75"/>
      <c r="CQ39" s="75">
        <f>+'[2]JULIO 2015'!$H$1097</f>
        <v>14819076</v>
      </c>
      <c r="CR39" s="75"/>
      <c r="CS39" s="75"/>
      <c r="CT39" s="75">
        <f>+'[2]JULIO 2015'!$H$1106</f>
        <v>25815097</v>
      </c>
      <c r="CU39" s="75"/>
      <c r="CV39" s="75"/>
      <c r="CW39" s="25">
        <f t="shared" si="81"/>
        <v>0.6647157522459195</v>
      </c>
      <c r="CX39" s="75">
        <f t="shared" si="65"/>
        <v>120209912</v>
      </c>
      <c r="CY39" s="75"/>
      <c r="CZ39" s="75"/>
      <c r="DA39" s="75"/>
      <c r="DB39" s="75"/>
      <c r="DC39" s="75"/>
      <c r="DD39" s="75">
        <f t="shared" si="67"/>
        <v>0</v>
      </c>
      <c r="DE39" s="75">
        <f t="shared" si="68"/>
        <v>0</v>
      </c>
      <c r="DF39" s="75"/>
      <c r="DG39" s="75">
        <f t="shared" si="69"/>
        <v>0</v>
      </c>
      <c r="DH39" s="75">
        <f t="shared" si="70"/>
        <v>0</v>
      </c>
      <c r="DI39" s="75"/>
      <c r="DJ39" s="75">
        <f t="shared" si="71"/>
        <v>0</v>
      </c>
      <c r="DK39" s="75">
        <f t="shared" si="72"/>
        <v>0</v>
      </c>
      <c r="DL39" s="75">
        <f t="shared" si="73"/>
        <v>0</v>
      </c>
      <c r="DM39" s="75">
        <f t="shared" si="74"/>
        <v>65180924</v>
      </c>
      <c r="DN39" s="75">
        <f t="shared" si="75"/>
        <v>0</v>
      </c>
      <c r="DO39" s="75">
        <f t="shared" si="76"/>
        <v>0</v>
      </c>
      <c r="DP39" s="75">
        <f t="shared" si="77"/>
        <v>55028988</v>
      </c>
      <c r="DQ39" s="75"/>
      <c r="DR39" s="75">
        <f t="shared" si="78"/>
        <v>0</v>
      </c>
    </row>
    <row r="40" spans="1:122" ht="37.5" customHeight="1" x14ac:dyDescent="0.25">
      <c r="A40" s="226"/>
      <c r="B40" s="81"/>
      <c r="C40" s="82" t="s">
        <v>395</v>
      </c>
      <c r="D40" s="81" t="s">
        <v>394</v>
      </c>
      <c r="E40" s="97">
        <v>410</v>
      </c>
      <c r="F40" s="78" t="s">
        <v>214</v>
      </c>
      <c r="G40" s="228"/>
      <c r="H40" s="79">
        <f t="shared" si="47"/>
        <v>1064000</v>
      </c>
      <c r="I40" s="79">
        <f t="shared" si="48"/>
        <v>8936000</v>
      </c>
      <c r="J40" s="78" t="s">
        <v>393</v>
      </c>
      <c r="K40" s="78" t="s">
        <v>392</v>
      </c>
      <c r="L40" s="78" t="s">
        <v>391</v>
      </c>
      <c r="M40" s="75">
        <f t="shared" si="49"/>
        <v>10000000</v>
      </c>
      <c r="N40" s="75"/>
      <c r="O40" s="75"/>
      <c r="P40" s="75"/>
      <c r="Q40" s="75"/>
      <c r="R40" s="75"/>
      <c r="S40" s="75">
        <v>10000000</v>
      </c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I40" s="25">
        <f t="shared" si="79"/>
        <v>1</v>
      </c>
      <c r="AJ40" s="75">
        <f t="shared" si="50"/>
        <v>10000000</v>
      </c>
      <c r="AK40" s="75"/>
      <c r="AL40" s="75"/>
      <c r="AM40" s="75"/>
      <c r="AN40" s="75"/>
      <c r="AO40" s="75"/>
      <c r="AP40" s="75">
        <f>+'[8]FEBRERO 2015'!$N$501</f>
        <v>10000000</v>
      </c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25">
        <f t="shared" si="41"/>
        <v>0</v>
      </c>
      <c r="BF40" s="75">
        <f t="shared" si="51"/>
        <v>0</v>
      </c>
      <c r="BG40" s="75">
        <f t="shared" si="52"/>
        <v>0</v>
      </c>
      <c r="BH40" s="75"/>
      <c r="BI40" s="75">
        <f t="shared" si="82"/>
        <v>0</v>
      </c>
      <c r="BJ40" s="75">
        <f t="shared" si="83"/>
        <v>0</v>
      </c>
      <c r="BK40" s="75"/>
      <c r="BL40" s="75">
        <f t="shared" si="54"/>
        <v>0</v>
      </c>
      <c r="BM40" s="75">
        <f t="shared" si="55"/>
        <v>0</v>
      </c>
      <c r="BN40" s="75"/>
      <c r="BO40" s="75">
        <f>+V40-AS40</f>
        <v>0</v>
      </c>
      <c r="BP40" s="75">
        <f t="shared" si="56"/>
        <v>0</v>
      </c>
      <c r="BQ40" s="75">
        <f>+X40-AU40</f>
        <v>0</v>
      </c>
      <c r="BR40" s="75">
        <f t="shared" si="57"/>
        <v>0</v>
      </c>
      <c r="BS40" s="75">
        <f t="shared" si="58"/>
        <v>0</v>
      </c>
      <c r="BT40" s="75">
        <f t="shared" si="59"/>
        <v>0</v>
      </c>
      <c r="BU40" s="75">
        <f t="shared" si="60"/>
        <v>0</v>
      </c>
      <c r="BV40" s="75">
        <f t="shared" si="61"/>
        <v>0</v>
      </c>
      <c r="BW40" s="75">
        <f t="shared" si="62"/>
        <v>0</v>
      </c>
      <c r="BX40" s="75"/>
      <c r="BY40" s="75"/>
      <c r="BZ40" s="75">
        <f t="shared" si="63"/>
        <v>0</v>
      </c>
      <c r="CA40" s="25">
        <f t="shared" si="80"/>
        <v>0.10639999999999999</v>
      </c>
      <c r="CB40" s="75">
        <f t="shared" si="64"/>
        <v>1064000</v>
      </c>
      <c r="CC40" s="75"/>
      <c r="CD40" s="75"/>
      <c r="CE40" s="75"/>
      <c r="CF40" s="75"/>
      <c r="CG40" s="75"/>
      <c r="CH40" s="75">
        <f>+'[1]AGOSTO 2015'!$H$1265</f>
        <v>1064000</v>
      </c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25">
        <f t="shared" si="81"/>
        <v>0.89359999999999995</v>
      </c>
      <c r="CX40" s="75">
        <f t="shared" si="65"/>
        <v>8936000</v>
      </c>
      <c r="CY40" s="75"/>
      <c r="CZ40" s="75"/>
      <c r="DA40" s="75"/>
      <c r="DB40" s="75"/>
      <c r="DC40" s="75"/>
      <c r="DD40" s="75">
        <f t="shared" si="67"/>
        <v>8936000</v>
      </c>
      <c r="DE40" s="75">
        <f t="shared" si="68"/>
        <v>0</v>
      </c>
      <c r="DF40" s="75"/>
      <c r="DG40" s="75">
        <f t="shared" si="69"/>
        <v>0</v>
      </c>
      <c r="DH40" s="75">
        <f t="shared" si="70"/>
        <v>0</v>
      </c>
      <c r="DI40" s="75"/>
      <c r="DJ40" s="75">
        <f t="shared" si="71"/>
        <v>0</v>
      </c>
      <c r="DK40" s="75">
        <f t="shared" si="72"/>
        <v>0</v>
      </c>
      <c r="DL40" s="75">
        <f t="shared" si="73"/>
        <v>0</v>
      </c>
      <c r="DM40" s="75">
        <f t="shared" si="74"/>
        <v>0</v>
      </c>
      <c r="DN40" s="75">
        <f t="shared" si="75"/>
        <v>0</v>
      </c>
      <c r="DO40" s="75">
        <f t="shared" si="76"/>
        <v>0</v>
      </c>
      <c r="DP40" s="75">
        <f t="shared" si="77"/>
        <v>0</v>
      </c>
      <c r="DQ40" s="75"/>
      <c r="DR40" s="75">
        <f t="shared" si="78"/>
        <v>0</v>
      </c>
    </row>
    <row r="41" spans="1:122" ht="33" customHeight="1" x14ac:dyDescent="0.25">
      <c r="A41" s="226"/>
      <c r="B41" s="81"/>
      <c r="C41" s="82" t="s">
        <v>390</v>
      </c>
      <c r="D41" s="81" t="s">
        <v>389</v>
      </c>
      <c r="E41" s="97">
        <v>410</v>
      </c>
      <c r="F41" s="78" t="s">
        <v>214</v>
      </c>
      <c r="G41" s="228"/>
      <c r="H41" s="79">
        <f t="shared" si="47"/>
        <v>6500000</v>
      </c>
      <c r="I41" s="79">
        <f t="shared" si="48"/>
        <v>3500000</v>
      </c>
      <c r="J41" s="78" t="s">
        <v>388</v>
      </c>
      <c r="K41" s="78" t="s">
        <v>387</v>
      </c>
      <c r="L41" s="78" t="s">
        <v>386</v>
      </c>
      <c r="M41" s="75">
        <f t="shared" si="49"/>
        <v>10000000</v>
      </c>
      <c r="N41" s="75"/>
      <c r="O41" s="75"/>
      <c r="P41" s="75"/>
      <c r="Q41" s="75"/>
      <c r="R41" s="75"/>
      <c r="S41" s="75">
        <f>30000000-20000000</f>
        <v>10000000</v>
      </c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I41" s="25">
        <f t="shared" si="79"/>
        <v>1</v>
      </c>
      <c r="AJ41" s="75">
        <f t="shared" si="50"/>
        <v>10000000</v>
      </c>
      <c r="AK41" s="75"/>
      <c r="AL41" s="75"/>
      <c r="AM41" s="75"/>
      <c r="AN41" s="75"/>
      <c r="AO41" s="75"/>
      <c r="AP41" s="75">
        <f>+'[6]JUNIO 2015'!$O$956</f>
        <v>10000000</v>
      </c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25">
        <f t="shared" si="41"/>
        <v>0</v>
      </c>
      <c r="BF41" s="75">
        <f t="shared" si="51"/>
        <v>0</v>
      </c>
      <c r="BG41" s="75">
        <f t="shared" si="52"/>
        <v>0</v>
      </c>
      <c r="BH41" s="75"/>
      <c r="BI41" s="75">
        <f t="shared" si="82"/>
        <v>0</v>
      </c>
      <c r="BJ41" s="75">
        <f t="shared" si="83"/>
        <v>0</v>
      </c>
      <c r="BK41" s="75"/>
      <c r="BL41" s="75">
        <f t="shared" si="54"/>
        <v>0</v>
      </c>
      <c r="BM41" s="75">
        <f t="shared" si="55"/>
        <v>0</v>
      </c>
      <c r="BN41" s="75"/>
      <c r="BO41" s="75">
        <f>+V41-AS41</f>
        <v>0</v>
      </c>
      <c r="BP41" s="75">
        <f t="shared" si="56"/>
        <v>0</v>
      </c>
      <c r="BQ41" s="75">
        <f>+X41-AU41</f>
        <v>0</v>
      </c>
      <c r="BR41" s="75">
        <f t="shared" si="57"/>
        <v>0</v>
      </c>
      <c r="BS41" s="75">
        <f t="shared" si="58"/>
        <v>0</v>
      </c>
      <c r="BT41" s="75">
        <f t="shared" si="59"/>
        <v>0</v>
      </c>
      <c r="BU41" s="75">
        <f t="shared" si="60"/>
        <v>0</v>
      </c>
      <c r="BV41" s="75">
        <f t="shared" si="61"/>
        <v>0</v>
      </c>
      <c r="BW41" s="75">
        <f t="shared" si="62"/>
        <v>0</v>
      </c>
      <c r="BX41" s="75"/>
      <c r="BY41" s="75"/>
      <c r="BZ41" s="75">
        <f t="shared" si="63"/>
        <v>0</v>
      </c>
      <c r="CA41" s="25">
        <f t="shared" si="80"/>
        <v>0.65</v>
      </c>
      <c r="CB41" s="75">
        <f t="shared" si="64"/>
        <v>6500000</v>
      </c>
      <c r="CC41" s="75"/>
      <c r="CD41" s="75"/>
      <c r="CE41" s="75"/>
      <c r="CF41" s="75"/>
      <c r="CG41" s="75"/>
      <c r="CH41" s="75">
        <f>+'[2]JULIO 2015'!$H$1127</f>
        <v>6500000</v>
      </c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25">
        <f t="shared" si="81"/>
        <v>0.35</v>
      </c>
      <c r="CX41" s="75">
        <f t="shared" si="65"/>
        <v>3500000</v>
      </c>
      <c r="CY41" s="75"/>
      <c r="CZ41" s="75"/>
      <c r="DA41" s="75"/>
      <c r="DB41" s="75"/>
      <c r="DC41" s="75"/>
      <c r="DD41" s="75">
        <f t="shared" si="67"/>
        <v>3500000</v>
      </c>
      <c r="DE41" s="75">
        <f t="shared" si="68"/>
        <v>0</v>
      </c>
      <c r="DF41" s="75"/>
      <c r="DG41" s="75">
        <f t="shared" si="69"/>
        <v>0</v>
      </c>
      <c r="DH41" s="75">
        <f t="shared" si="70"/>
        <v>0</v>
      </c>
      <c r="DI41" s="75"/>
      <c r="DJ41" s="75">
        <f t="shared" si="71"/>
        <v>0</v>
      </c>
      <c r="DK41" s="75">
        <f t="shared" si="72"/>
        <v>0</v>
      </c>
      <c r="DL41" s="75">
        <f t="shared" si="73"/>
        <v>0</v>
      </c>
      <c r="DM41" s="75">
        <f t="shared" si="74"/>
        <v>0</v>
      </c>
      <c r="DN41" s="75">
        <f t="shared" si="75"/>
        <v>0</v>
      </c>
      <c r="DO41" s="75">
        <f t="shared" si="76"/>
        <v>0</v>
      </c>
      <c r="DP41" s="75">
        <f t="shared" si="77"/>
        <v>0</v>
      </c>
      <c r="DQ41" s="75"/>
      <c r="DR41" s="75">
        <f t="shared" si="78"/>
        <v>0</v>
      </c>
    </row>
    <row r="42" spans="1:122" ht="28.5" customHeight="1" x14ac:dyDescent="0.25">
      <c r="A42" s="226"/>
      <c r="B42" s="81"/>
      <c r="C42" s="82" t="s">
        <v>385</v>
      </c>
      <c r="D42" s="81" t="s">
        <v>384</v>
      </c>
      <c r="E42" s="97">
        <v>410</v>
      </c>
      <c r="F42" s="78" t="s">
        <v>383</v>
      </c>
      <c r="G42" s="228"/>
      <c r="H42" s="79">
        <f t="shared" si="47"/>
        <v>3087000</v>
      </c>
      <c r="I42" s="79">
        <f t="shared" si="48"/>
        <v>47890063</v>
      </c>
      <c r="J42" s="78" t="s">
        <v>382</v>
      </c>
      <c r="K42" s="78" t="s">
        <v>381</v>
      </c>
      <c r="L42" s="78" t="s">
        <v>380</v>
      </c>
      <c r="M42" s="75">
        <f t="shared" si="49"/>
        <v>50977063</v>
      </c>
      <c r="N42" s="75"/>
      <c r="O42" s="75"/>
      <c r="P42" s="75"/>
      <c r="Q42" s="75"/>
      <c r="R42" s="75"/>
      <c r="S42" s="75">
        <v>50000000</v>
      </c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>
        <v>977063</v>
      </c>
      <c r="AI42" s="25">
        <f t="shared" si="79"/>
        <v>0.98083328182323881</v>
      </c>
      <c r="AJ42" s="75">
        <f t="shared" si="50"/>
        <v>50000000</v>
      </c>
      <c r="AK42" s="75"/>
      <c r="AL42" s="75"/>
      <c r="AM42" s="75"/>
      <c r="AN42" s="75"/>
      <c r="AO42" s="75"/>
      <c r="AP42" s="75">
        <f>+'[8]FEBRERO 2015'!$N$511</f>
        <v>50000000</v>
      </c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25">
        <f t="shared" si="41"/>
        <v>1.9166718176761188E-2</v>
      </c>
      <c r="BF42" s="75">
        <f t="shared" si="51"/>
        <v>977063</v>
      </c>
      <c r="BG42" s="75">
        <f t="shared" si="52"/>
        <v>0</v>
      </c>
      <c r="BH42" s="75"/>
      <c r="BI42" s="75">
        <f t="shared" si="82"/>
        <v>0</v>
      </c>
      <c r="BJ42" s="75">
        <f t="shared" si="83"/>
        <v>0</v>
      </c>
      <c r="BK42" s="75"/>
      <c r="BL42" s="75">
        <f t="shared" si="54"/>
        <v>0</v>
      </c>
      <c r="BM42" s="75">
        <f t="shared" si="55"/>
        <v>0</v>
      </c>
      <c r="BN42" s="75"/>
      <c r="BO42" s="75">
        <f>+V42-AS42</f>
        <v>0</v>
      </c>
      <c r="BP42" s="75">
        <f t="shared" si="56"/>
        <v>0</v>
      </c>
      <c r="BQ42" s="75">
        <f>+X42-AU42</f>
        <v>0</v>
      </c>
      <c r="BR42" s="75">
        <f t="shared" si="57"/>
        <v>0</v>
      </c>
      <c r="BS42" s="75">
        <f t="shared" si="58"/>
        <v>0</v>
      </c>
      <c r="BT42" s="75">
        <f t="shared" si="59"/>
        <v>0</v>
      </c>
      <c r="BU42" s="75">
        <f t="shared" si="60"/>
        <v>0</v>
      </c>
      <c r="BV42" s="75">
        <f t="shared" si="61"/>
        <v>0</v>
      </c>
      <c r="BW42" s="75">
        <f t="shared" si="62"/>
        <v>0</v>
      </c>
      <c r="BX42" s="75"/>
      <c r="BY42" s="75"/>
      <c r="BZ42" s="75">
        <f t="shared" si="63"/>
        <v>977063</v>
      </c>
      <c r="CA42" s="25">
        <f t="shared" si="80"/>
        <v>6.0556646819766767E-2</v>
      </c>
      <c r="CB42" s="75">
        <f t="shared" si="64"/>
        <v>3087000</v>
      </c>
      <c r="CC42" s="75"/>
      <c r="CD42" s="75"/>
      <c r="CE42" s="75"/>
      <c r="CF42" s="75"/>
      <c r="CG42" s="75"/>
      <c r="CH42" s="75">
        <f>+'[1]AGOSTO 2015'!$H$1279</f>
        <v>3087000</v>
      </c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25">
        <f t="shared" si="81"/>
        <v>0.9394433531802332</v>
      </c>
      <c r="CX42" s="75">
        <f t="shared" si="65"/>
        <v>47890063</v>
      </c>
      <c r="CY42" s="75"/>
      <c r="CZ42" s="75"/>
      <c r="DA42" s="75"/>
      <c r="DB42" s="75"/>
      <c r="DC42" s="75"/>
      <c r="DD42" s="75">
        <f t="shared" si="67"/>
        <v>46913000</v>
      </c>
      <c r="DE42" s="75">
        <f t="shared" si="68"/>
        <v>0</v>
      </c>
      <c r="DF42" s="75"/>
      <c r="DG42" s="75">
        <f t="shared" si="69"/>
        <v>0</v>
      </c>
      <c r="DH42" s="75">
        <f t="shared" si="70"/>
        <v>0</v>
      </c>
      <c r="DI42" s="75"/>
      <c r="DJ42" s="75">
        <f t="shared" si="71"/>
        <v>0</v>
      </c>
      <c r="DK42" s="75">
        <f t="shared" si="72"/>
        <v>0</v>
      </c>
      <c r="DL42" s="75">
        <f t="shared" si="73"/>
        <v>0</v>
      </c>
      <c r="DM42" s="75">
        <f t="shared" si="74"/>
        <v>0</v>
      </c>
      <c r="DN42" s="75">
        <f t="shared" si="75"/>
        <v>0</v>
      </c>
      <c r="DO42" s="75">
        <f t="shared" si="76"/>
        <v>0</v>
      </c>
      <c r="DP42" s="75">
        <f t="shared" si="77"/>
        <v>0</v>
      </c>
      <c r="DQ42" s="75"/>
      <c r="DR42" s="75">
        <f t="shared" si="78"/>
        <v>977063</v>
      </c>
    </row>
    <row r="43" spans="1:122" ht="33.75" customHeight="1" x14ac:dyDescent="0.25">
      <c r="A43" s="226"/>
      <c r="B43" s="81"/>
      <c r="C43" s="82" t="s">
        <v>379</v>
      </c>
      <c r="D43" s="81" t="s">
        <v>378</v>
      </c>
      <c r="E43" s="97">
        <v>410</v>
      </c>
      <c r="F43" s="78" t="s">
        <v>214</v>
      </c>
      <c r="G43" s="229"/>
      <c r="H43" s="79">
        <f t="shared" si="47"/>
        <v>68403590</v>
      </c>
      <c r="I43" s="79">
        <f t="shared" si="48"/>
        <v>1596410</v>
      </c>
      <c r="J43" s="78" t="s">
        <v>377</v>
      </c>
      <c r="K43" s="78" t="s">
        <v>376</v>
      </c>
      <c r="L43" s="78" t="s">
        <v>375</v>
      </c>
      <c r="M43" s="75">
        <f t="shared" si="49"/>
        <v>70000000</v>
      </c>
      <c r="N43" s="75"/>
      <c r="O43" s="75"/>
      <c r="P43" s="75"/>
      <c r="Q43" s="75"/>
      <c r="R43" s="75"/>
      <c r="S43" s="75">
        <f>50000000+20000000</f>
        <v>70000000</v>
      </c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I43" s="25">
        <f t="shared" si="79"/>
        <v>1</v>
      </c>
      <c r="AJ43" s="75">
        <f t="shared" si="50"/>
        <v>70000000</v>
      </c>
      <c r="AK43" s="75"/>
      <c r="AL43" s="75"/>
      <c r="AM43" s="75"/>
      <c r="AN43" s="75"/>
      <c r="AO43" s="75"/>
      <c r="AP43" s="75">
        <f>+'[6]JUNIO 2015'!$O$970</f>
        <v>70000000</v>
      </c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25">
        <f t="shared" si="41"/>
        <v>0</v>
      </c>
      <c r="BF43" s="75">
        <f t="shared" si="51"/>
        <v>0</v>
      </c>
      <c r="BG43" s="75">
        <f t="shared" si="52"/>
        <v>0</v>
      </c>
      <c r="BH43" s="75"/>
      <c r="BI43" s="75">
        <f t="shared" si="82"/>
        <v>0</v>
      </c>
      <c r="BJ43" s="75">
        <f t="shared" si="83"/>
        <v>0</v>
      </c>
      <c r="BK43" s="75"/>
      <c r="BL43" s="75">
        <f t="shared" si="54"/>
        <v>0</v>
      </c>
      <c r="BM43" s="75">
        <f t="shared" si="55"/>
        <v>0</v>
      </c>
      <c r="BN43" s="75"/>
      <c r="BO43" s="75"/>
      <c r="BP43" s="75"/>
      <c r="BQ43" s="75"/>
      <c r="BR43" s="75">
        <f t="shared" si="57"/>
        <v>0</v>
      </c>
      <c r="BS43" s="75">
        <f t="shared" si="58"/>
        <v>0</v>
      </c>
      <c r="BT43" s="75">
        <f t="shared" si="59"/>
        <v>0</v>
      </c>
      <c r="BU43" s="75">
        <f t="shared" si="60"/>
        <v>0</v>
      </c>
      <c r="BV43" s="75">
        <f t="shared" si="61"/>
        <v>0</v>
      </c>
      <c r="BW43" s="75">
        <f t="shared" si="62"/>
        <v>0</v>
      </c>
      <c r="BX43" s="75"/>
      <c r="BY43" s="75"/>
      <c r="BZ43" s="75">
        <f t="shared" si="63"/>
        <v>0</v>
      </c>
      <c r="CA43" s="25">
        <f t="shared" si="80"/>
        <v>0.9771941428571429</v>
      </c>
      <c r="CB43" s="75">
        <f t="shared" si="64"/>
        <v>68403590</v>
      </c>
      <c r="CC43" s="75"/>
      <c r="CD43" s="75"/>
      <c r="CE43" s="75"/>
      <c r="CF43" s="75"/>
      <c r="CG43" s="75"/>
      <c r="CH43" s="75">
        <f>+'[1]AGOSTO 2015'!$H$1286</f>
        <v>68403590</v>
      </c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25">
        <f t="shared" si="81"/>
        <v>2.28058571428571E-2</v>
      </c>
      <c r="CX43" s="75">
        <f t="shared" si="65"/>
        <v>1596410</v>
      </c>
      <c r="CY43" s="75"/>
      <c r="CZ43" s="75"/>
      <c r="DA43" s="75"/>
      <c r="DB43" s="75"/>
      <c r="DC43" s="75"/>
      <c r="DD43" s="75">
        <f t="shared" si="67"/>
        <v>1596410</v>
      </c>
      <c r="DE43" s="75">
        <f t="shared" si="68"/>
        <v>0</v>
      </c>
      <c r="DF43" s="75"/>
      <c r="DG43" s="75">
        <f t="shared" si="69"/>
        <v>0</v>
      </c>
      <c r="DH43" s="75">
        <f t="shared" si="70"/>
        <v>0</v>
      </c>
      <c r="DI43" s="75"/>
      <c r="DJ43" s="75">
        <f t="shared" si="71"/>
        <v>0</v>
      </c>
      <c r="DK43" s="75">
        <f t="shared" si="72"/>
        <v>0</v>
      </c>
      <c r="DL43" s="75">
        <f t="shared" si="73"/>
        <v>0</v>
      </c>
      <c r="DM43" s="75">
        <f t="shared" si="74"/>
        <v>0</v>
      </c>
      <c r="DN43" s="75">
        <f t="shared" si="75"/>
        <v>0</v>
      </c>
      <c r="DO43" s="75">
        <f t="shared" si="76"/>
        <v>0</v>
      </c>
      <c r="DP43" s="75">
        <f t="shared" si="77"/>
        <v>0</v>
      </c>
      <c r="DQ43" s="75"/>
      <c r="DR43" s="75">
        <f t="shared" si="78"/>
        <v>0</v>
      </c>
    </row>
    <row r="44" spans="1:122" ht="35.25" customHeight="1" x14ac:dyDescent="0.25">
      <c r="A44" s="226"/>
      <c r="B44" s="128" t="s">
        <v>374</v>
      </c>
      <c r="C44" s="82" t="s">
        <v>373</v>
      </c>
      <c r="D44" s="81" t="s">
        <v>372</v>
      </c>
      <c r="E44" s="127">
        <v>410</v>
      </c>
      <c r="F44" s="78" t="s">
        <v>214</v>
      </c>
      <c r="G44" s="227">
        <v>303000000</v>
      </c>
      <c r="H44" s="79">
        <f t="shared" si="47"/>
        <v>29457678</v>
      </c>
      <c r="I44" s="79">
        <f t="shared" si="48"/>
        <v>24964993</v>
      </c>
      <c r="J44" s="78" t="s">
        <v>371</v>
      </c>
      <c r="K44" s="78" t="s">
        <v>370</v>
      </c>
      <c r="L44" s="78" t="s">
        <v>369</v>
      </c>
      <c r="M44" s="75">
        <f t="shared" si="49"/>
        <v>54422671</v>
      </c>
      <c r="N44" s="75"/>
      <c r="O44" s="75">
        <f>80000000-69189100</f>
        <v>10810900</v>
      </c>
      <c r="P44" s="75"/>
      <c r="Q44" s="75"/>
      <c r="R44" s="75"/>
      <c r="S44" s="75"/>
      <c r="T44" s="75">
        <f>20000000</f>
        <v>20000000</v>
      </c>
      <c r="U44" s="75"/>
      <c r="V44" s="75"/>
      <c r="W44" s="75"/>
      <c r="X44" s="75"/>
      <c r="Y44" s="75"/>
      <c r="Z44" s="75"/>
      <c r="AA44" s="75"/>
      <c r="AB44" s="75"/>
      <c r="AC44" s="75">
        <v>23611771</v>
      </c>
      <c r="AD44" s="75"/>
      <c r="AE44" s="75"/>
      <c r="AF44" s="75"/>
      <c r="AG44" s="75"/>
      <c r="AI44" s="25">
        <f t="shared" si="79"/>
        <v>0.97676078779742359</v>
      </c>
      <c r="AJ44" s="75">
        <f t="shared" si="50"/>
        <v>53157931</v>
      </c>
      <c r="AK44" s="75"/>
      <c r="AL44" s="75">
        <f>+'[6]JUNIO 2015'!$K$1009</f>
        <v>9546220</v>
      </c>
      <c r="AM44" s="75"/>
      <c r="AN44" s="75"/>
      <c r="AO44" s="75"/>
      <c r="AP44" s="75"/>
      <c r="AQ44" s="75">
        <f>+'[6]JUNIO 2015'!$P$1009</f>
        <v>20000000</v>
      </c>
      <c r="AR44" s="75"/>
      <c r="AS44" s="75"/>
      <c r="AT44" s="75"/>
      <c r="AU44" s="75"/>
      <c r="AV44" s="75"/>
      <c r="AW44" s="75"/>
      <c r="AX44" s="75"/>
      <c r="AY44" s="75"/>
      <c r="AZ44" s="75">
        <f>+'[2]JULIO 2015'!$Y$1192</f>
        <v>23611711</v>
      </c>
      <c r="BA44" s="75"/>
      <c r="BB44" s="75"/>
      <c r="BC44" s="75"/>
      <c r="BD44" s="75"/>
      <c r="BE44" s="25">
        <f t="shared" si="41"/>
        <v>2.3239212202576409E-2</v>
      </c>
      <c r="BF44" s="75">
        <f t="shared" si="51"/>
        <v>1264740</v>
      </c>
      <c r="BG44" s="75">
        <f t="shared" si="52"/>
        <v>0</v>
      </c>
      <c r="BH44" s="75">
        <f>O44-AL44</f>
        <v>1264680</v>
      </c>
      <c r="BI44" s="75">
        <f t="shared" si="82"/>
        <v>0</v>
      </c>
      <c r="BJ44" s="75">
        <f t="shared" si="83"/>
        <v>0</v>
      </c>
      <c r="BK44" s="75"/>
      <c r="BL44" s="75">
        <f t="shared" si="54"/>
        <v>0</v>
      </c>
      <c r="BM44" s="75">
        <f t="shared" si="55"/>
        <v>0</v>
      </c>
      <c r="BN44" s="75"/>
      <c r="BO44" s="75">
        <f t="shared" ref="BO44:BQ48" si="84">+V44-AS44</f>
        <v>0</v>
      </c>
      <c r="BP44" s="75">
        <f t="shared" si="84"/>
        <v>0</v>
      </c>
      <c r="BQ44" s="75">
        <f t="shared" si="84"/>
        <v>0</v>
      </c>
      <c r="BR44" s="75">
        <f t="shared" si="57"/>
        <v>0</v>
      </c>
      <c r="BS44" s="75">
        <f t="shared" si="58"/>
        <v>0</v>
      </c>
      <c r="BT44" s="75">
        <f t="shared" si="59"/>
        <v>0</v>
      </c>
      <c r="BU44" s="75">
        <f t="shared" si="60"/>
        <v>0</v>
      </c>
      <c r="BV44" s="75">
        <f t="shared" si="61"/>
        <v>60</v>
      </c>
      <c r="BW44" s="75">
        <f t="shared" si="62"/>
        <v>0</v>
      </c>
      <c r="BX44" s="75"/>
      <c r="BY44" s="75"/>
      <c r="BZ44" s="75">
        <f t="shared" si="63"/>
        <v>0</v>
      </c>
      <c r="CA44" s="25">
        <f t="shared" si="80"/>
        <v>0.54127585909923459</v>
      </c>
      <c r="CB44" s="75">
        <f t="shared" si="64"/>
        <v>29457678</v>
      </c>
      <c r="CC44" s="75"/>
      <c r="CD44" s="75">
        <f>+'[6]JUNIO 2015'!$H$1010</f>
        <v>9546220</v>
      </c>
      <c r="CE44" s="75"/>
      <c r="CF44" s="75"/>
      <c r="CG44" s="75"/>
      <c r="CH44" s="75"/>
      <c r="CI44" s="75">
        <f>+'[1]AGOSTO 2015'!$H$1349</f>
        <v>19911458</v>
      </c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25">
        <f t="shared" si="81"/>
        <v>0.45872414090076541</v>
      </c>
      <c r="CX44" s="75">
        <f t="shared" si="65"/>
        <v>24964993</v>
      </c>
      <c r="CY44" s="75"/>
      <c r="CZ44" s="75">
        <f t="shared" ref="CZ44:DB45" si="85">O44-CD44</f>
        <v>1264680</v>
      </c>
      <c r="DA44" s="75">
        <f t="shared" si="85"/>
        <v>0</v>
      </c>
      <c r="DB44" s="75">
        <f t="shared" si="85"/>
        <v>0</v>
      </c>
      <c r="DC44" s="75"/>
      <c r="DD44" s="75">
        <f t="shared" si="67"/>
        <v>0</v>
      </c>
      <c r="DE44" s="75">
        <f t="shared" si="68"/>
        <v>88542</v>
      </c>
      <c r="DF44" s="75"/>
      <c r="DG44" s="75">
        <f t="shared" si="69"/>
        <v>0</v>
      </c>
      <c r="DH44" s="75">
        <f t="shared" si="70"/>
        <v>0</v>
      </c>
      <c r="DI44" s="75"/>
      <c r="DJ44" s="75">
        <f t="shared" si="71"/>
        <v>0</v>
      </c>
      <c r="DK44" s="75">
        <f t="shared" si="72"/>
        <v>0</v>
      </c>
      <c r="DL44" s="75">
        <f t="shared" si="73"/>
        <v>0</v>
      </c>
      <c r="DM44" s="75">
        <f t="shared" si="74"/>
        <v>0</v>
      </c>
      <c r="DN44" s="75">
        <f t="shared" si="75"/>
        <v>23611771</v>
      </c>
      <c r="DO44" s="75">
        <f t="shared" si="76"/>
        <v>0</v>
      </c>
      <c r="DP44" s="75">
        <f t="shared" si="77"/>
        <v>0</v>
      </c>
      <c r="DQ44" s="75"/>
      <c r="DR44" s="75">
        <f t="shared" si="78"/>
        <v>0</v>
      </c>
    </row>
    <row r="45" spans="1:122" ht="35.25" customHeight="1" x14ac:dyDescent="0.25">
      <c r="A45" s="226"/>
      <c r="B45" s="81"/>
      <c r="C45" s="82" t="s">
        <v>368</v>
      </c>
      <c r="D45" s="126" t="s">
        <v>367</v>
      </c>
      <c r="E45" s="97">
        <v>410</v>
      </c>
      <c r="F45" s="78" t="s">
        <v>214</v>
      </c>
      <c r="G45" s="228"/>
      <c r="H45" s="79">
        <f t="shared" si="47"/>
        <v>14950724</v>
      </c>
      <c r="I45" s="79">
        <f t="shared" si="48"/>
        <v>32131206</v>
      </c>
      <c r="J45" s="78" t="s">
        <v>366</v>
      </c>
      <c r="K45" s="78" t="s">
        <v>365</v>
      </c>
      <c r="L45" s="78" t="s">
        <v>364</v>
      </c>
      <c r="M45" s="75">
        <f t="shared" si="49"/>
        <v>47081930</v>
      </c>
      <c r="N45" s="75"/>
      <c r="O45" s="75">
        <f>64000000-61918070</f>
        <v>2081930</v>
      </c>
      <c r="P45" s="75"/>
      <c r="Q45" s="75"/>
      <c r="R45" s="75"/>
      <c r="S45" s="75"/>
      <c r="T45" s="75">
        <f>20000000</f>
        <v>20000000</v>
      </c>
      <c r="U45" s="75"/>
      <c r="V45" s="75"/>
      <c r="W45" s="75"/>
      <c r="X45" s="75"/>
      <c r="Y45" s="75"/>
      <c r="Z45" s="75"/>
      <c r="AA45" s="75"/>
      <c r="AB45" s="75"/>
      <c r="AC45" s="75">
        <v>25000000</v>
      </c>
      <c r="AD45" s="75"/>
      <c r="AE45" s="75"/>
      <c r="AF45" s="75"/>
      <c r="AG45" s="75"/>
      <c r="AI45" s="25">
        <f t="shared" si="79"/>
        <v>1</v>
      </c>
      <c r="AJ45" s="75">
        <f t="shared" si="50"/>
        <v>47081930</v>
      </c>
      <c r="AK45" s="75"/>
      <c r="AL45" s="75">
        <f>+'[6]JUNIO 2015'!$K$1023</f>
        <v>2081930</v>
      </c>
      <c r="AM45" s="75"/>
      <c r="AN45" s="75"/>
      <c r="AO45" s="75"/>
      <c r="AP45" s="75"/>
      <c r="AQ45" s="75">
        <f>+'[6]JUNIO 2015'!$P$1023</f>
        <v>20000000</v>
      </c>
      <c r="AR45" s="75"/>
      <c r="AS45" s="75"/>
      <c r="AT45" s="75"/>
      <c r="AU45" s="75"/>
      <c r="AV45" s="75"/>
      <c r="AW45" s="75"/>
      <c r="AX45" s="75"/>
      <c r="AY45" s="75"/>
      <c r="AZ45" s="75">
        <f>+'[2]JULIO 2015'!$Y$1215</f>
        <v>25000000</v>
      </c>
      <c r="BA45" s="75"/>
      <c r="BB45" s="75"/>
      <c r="BC45" s="75"/>
      <c r="BD45" s="75"/>
      <c r="BE45" s="25">
        <f t="shared" si="41"/>
        <v>0</v>
      </c>
      <c r="BF45" s="75">
        <f t="shared" si="51"/>
        <v>0</v>
      </c>
      <c r="BG45" s="75">
        <f t="shared" si="52"/>
        <v>0</v>
      </c>
      <c r="BH45" s="75">
        <f>O45-AL45</f>
        <v>0</v>
      </c>
      <c r="BI45" s="75">
        <f t="shared" si="82"/>
        <v>0</v>
      </c>
      <c r="BJ45" s="75">
        <f t="shared" si="83"/>
        <v>0</v>
      </c>
      <c r="BK45" s="75"/>
      <c r="BL45" s="75">
        <f t="shared" si="54"/>
        <v>0</v>
      </c>
      <c r="BM45" s="75">
        <f t="shared" si="55"/>
        <v>0</v>
      </c>
      <c r="BN45" s="75"/>
      <c r="BO45" s="75">
        <f t="shared" si="84"/>
        <v>0</v>
      </c>
      <c r="BP45" s="75">
        <f t="shared" si="84"/>
        <v>0</v>
      </c>
      <c r="BQ45" s="75">
        <f t="shared" si="84"/>
        <v>0</v>
      </c>
      <c r="BR45" s="75">
        <f t="shared" si="57"/>
        <v>0</v>
      </c>
      <c r="BS45" s="75">
        <f t="shared" si="58"/>
        <v>0</v>
      </c>
      <c r="BT45" s="75">
        <f t="shared" si="59"/>
        <v>0</v>
      </c>
      <c r="BU45" s="75">
        <f t="shared" si="60"/>
        <v>0</v>
      </c>
      <c r="BV45" s="75">
        <f t="shared" si="61"/>
        <v>0</v>
      </c>
      <c r="BW45" s="75">
        <f t="shared" si="62"/>
        <v>0</v>
      </c>
      <c r="BX45" s="75"/>
      <c r="BY45" s="75"/>
      <c r="BZ45" s="75">
        <f t="shared" si="63"/>
        <v>0</v>
      </c>
      <c r="CA45" s="25">
        <f t="shared" si="80"/>
        <v>0.31754696547061684</v>
      </c>
      <c r="CB45" s="75">
        <f t="shared" si="64"/>
        <v>14950724</v>
      </c>
      <c r="CC45" s="75"/>
      <c r="CD45" s="75">
        <f>+'[7]MAYO 2015'!$H$858</f>
        <v>2081930</v>
      </c>
      <c r="CE45" s="75"/>
      <c r="CF45" s="75"/>
      <c r="CG45" s="75"/>
      <c r="CH45" s="75"/>
      <c r="CI45" s="75">
        <f>+'[1]AGOSTO 2015'!$H$1370</f>
        <v>12868794</v>
      </c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25">
        <f t="shared" si="81"/>
        <v>0.68245303452938311</v>
      </c>
      <c r="CX45" s="75">
        <f t="shared" si="65"/>
        <v>32131206</v>
      </c>
      <c r="CY45" s="75"/>
      <c r="CZ45" s="75">
        <f t="shared" si="85"/>
        <v>0</v>
      </c>
      <c r="DA45" s="75">
        <f t="shared" si="85"/>
        <v>0</v>
      </c>
      <c r="DB45" s="75">
        <f t="shared" si="85"/>
        <v>0</v>
      </c>
      <c r="DC45" s="75"/>
      <c r="DD45" s="75">
        <f t="shared" si="67"/>
        <v>0</v>
      </c>
      <c r="DE45" s="75">
        <f t="shared" si="68"/>
        <v>7131206</v>
      </c>
      <c r="DF45" s="75"/>
      <c r="DG45" s="75">
        <f t="shared" si="69"/>
        <v>0</v>
      </c>
      <c r="DH45" s="75">
        <f t="shared" si="70"/>
        <v>0</v>
      </c>
      <c r="DI45" s="75"/>
      <c r="DJ45" s="75">
        <f t="shared" si="71"/>
        <v>0</v>
      </c>
      <c r="DK45" s="75">
        <f t="shared" si="72"/>
        <v>0</v>
      </c>
      <c r="DL45" s="75">
        <f t="shared" si="73"/>
        <v>0</v>
      </c>
      <c r="DM45" s="75">
        <f t="shared" si="74"/>
        <v>0</v>
      </c>
      <c r="DN45" s="75">
        <f t="shared" si="75"/>
        <v>25000000</v>
      </c>
      <c r="DO45" s="75">
        <f t="shared" si="76"/>
        <v>0</v>
      </c>
      <c r="DP45" s="75">
        <f t="shared" si="77"/>
        <v>0</v>
      </c>
      <c r="DQ45" s="75"/>
      <c r="DR45" s="75">
        <f t="shared" si="78"/>
        <v>0</v>
      </c>
    </row>
    <row r="46" spans="1:122" ht="32.25" customHeight="1" x14ac:dyDescent="0.25">
      <c r="A46" s="226"/>
      <c r="B46" s="81"/>
      <c r="C46" s="82" t="s">
        <v>363</v>
      </c>
      <c r="D46" s="81" t="s">
        <v>362</v>
      </c>
      <c r="E46" s="97">
        <v>410</v>
      </c>
      <c r="F46" s="78" t="s">
        <v>74</v>
      </c>
      <c r="G46" s="228"/>
      <c r="H46" s="79">
        <f t="shared" si="47"/>
        <v>3028000</v>
      </c>
      <c r="I46" s="79">
        <f t="shared" si="48"/>
        <v>4972000</v>
      </c>
      <c r="J46" s="78" t="s">
        <v>361</v>
      </c>
      <c r="K46" s="78" t="s">
        <v>360</v>
      </c>
      <c r="L46" s="78" t="s">
        <v>359</v>
      </c>
      <c r="M46" s="75">
        <f t="shared" si="49"/>
        <v>8000000</v>
      </c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>
        <f>3000000+5000000</f>
        <v>8000000</v>
      </c>
      <c r="AI46" s="25">
        <f t="shared" si="79"/>
        <v>1</v>
      </c>
      <c r="AJ46" s="75">
        <f t="shared" si="50"/>
        <v>8000000</v>
      </c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>
        <f>+'[2]JULIO 2015'!$G$1233</f>
        <v>8000000</v>
      </c>
      <c r="BE46" s="25">
        <f t="shared" si="41"/>
        <v>0</v>
      </c>
      <c r="BF46" s="75">
        <f t="shared" si="51"/>
        <v>0</v>
      </c>
      <c r="BG46" s="75">
        <f t="shared" si="52"/>
        <v>0</v>
      </c>
      <c r="BH46" s="75"/>
      <c r="BI46" s="75">
        <f t="shared" si="82"/>
        <v>0</v>
      </c>
      <c r="BJ46" s="75">
        <f t="shared" si="83"/>
        <v>0</v>
      </c>
      <c r="BK46" s="75"/>
      <c r="BL46" s="75">
        <f t="shared" si="54"/>
        <v>0</v>
      </c>
      <c r="BM46" s="75">
        <f t="shared" si="55"/>
        <v>0</v>
      </c>
      <c r="BN46" s="75"/>
      <c r="BO46" s="75">
        <f t="shared" si="84"/>
        <v>0</v>
      </c>
      <c r="BP46" s="75">
        <f t="shared" si="84"/>
        <v>0</v>
      </c>
      <c r="BQ46" s="75">
        <f t="shared" si="84"/>
        <v>0</v>
      </c>
      <c r="BR46" s="75">
        <f t="shared" si="57"/>
        <v>0</v>
      </c>
      <c r="BS46" s="75">
        <f t="shared" si="58"/>
        <v>0</v>
      </c>
      <c r="BT46" s="75">
        <f t="shared" si="59"/>
        <v>0</v>
      </c>
      <c r="BU46" s="75">
        <f t="shared" si="60"/>
        <v>0</v>
      </c>
      <c r="BV46" s="75">
        <f t="shared" si="61"/>
        <v>0</v>
      </c>
      <c r="BW46" s="75">
        <f t="shared" si="62"/>
        <v>0</v>
      </c>
      <c r="BX46" s="75"/>
      <c r="BY46" s="75"/>
      <c r="BZ46" s="75">
        <f t="shared" si="63"/>
        <v>0</v>
      </c>
      <c r="CA46" s="25">
        <f t="shared" si="80"/>
        <v>0.3785</v>
      </c>
      <c r="CB46" s="75">
        <f t="shared" si="64"/>
        <v>3028000</v>
      </c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>
        <f>+'[1]AGOSTO 2015'!$H$1393+'[1]AGOSTO 2015'!$H$1401</f>
        <v>3028000</v>
      </c>
      <c r="CW46" s="25">
        <f t="shared" si="81"/>
        <v>0.62149999999999994</v>
      </c>
      <c r="CX46" s="75">
        <f t="shared" si="65"/>
        <v>4972000</v>
      </c>
      <c r="CY46" s="75"/>
      <c r="CZ46" s="75"/>
      <c r="DA46" s="75"/>
      <c r="DB46" s="75">
        <f t="shared" ref="DB46:DB58" si="86">Q46-CF46</f>
        <v>0</v>
      </c>
      <c r="DC46" s="75"/>
      <c r="DD46" s="75">
        <f t="shared" si="67"/>
        <v>0</v>
      </c>
      <c r="DE46" s="75">
        <f t="shared" si="68"/>
        <v>0</v>
      </c>
      <c r="DF46" s="75"/>
      <c r="DG46" s="75">
        <f t="shared" si="69"/>
        <v>0</v>
      </c>
      <c r="DH46" s="75">
        <f t="shared" si="70"/>
        <v>0</v>
      </c>
      <c r="DI46" s="75"/>
      <c r="DJ46" s="75">
        <f t="shared" si="71"/>
        <v>0</v>
      </c>
      <c r="DK46" s="75">
        <f t="shared" si="72"/>
        <v>0</v>
      </c>
      <c r="DL46" s="75">
        <f t="shared" si="73"/>
        <v>0</v>
      </c>
      <c r="DM46" s="75">
        <f t="shared" si="74"/>
        <v>0</v>
      </c>
      <c r="DN46" s="75">
        <f t="shared" si="75"/>
        <v>0</v>
      </c>
      <c r="DO46" s="75">
        <f t="shared" si="76"/>
        <v>0</v>
      </c>
      <c r="DP46" s="75">
        <f t="shared" si="77"/>
        <v>0</v>
      </c>
      <c r="DQ46" s="75"/>
      <c r="DR46" s="75">
        <f t="shared" si="78"/>
        <v>4972000</v>
      </c>
    </row>
    <row r="47" spans="1:122" ht="41.25" customHeight="1" x14ac:dyDescent="0.25">
      <c r="A47" s="226"/>
      <c r="B47" s="81"/>
      <c r="C47" s="82" t="s">
        <v>358</v>
      </c>
      <c r="D47" s="81" t="s">
        <v>357</v>
      </c>
      <c r="E47" s="97">
        <v>410</v>
      </c>
      <c r="F47" s="78" t="s">
        <v>214</v>
      </c>
      <c r="G47" s="229"/>
      <c r="H47" s="79">
        <f t="shared" si="47"/>
        <v>142910666</v>
      </c>
      <c r="I47" s="79">
        <f t="shared" si="48"/>
        <v>3089334</v>
      </c>
      <c r="J47" s="78"/>
      <c r="K47" s="78"/>
      <c r="L47" s="78"/>
      <c r="M47" s="75">
        <f t="shared" si="49"/>
        <v>146000000</v>
      </c>
      <c r="N47" s="75"/>
      <c r="O47" s="75">
        <f>98670877-98670877</f>
        <v>0</v>
      </c>
      <c r="P47" s="75">
        <v>98670877</v>
      </c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>
        <f>57329123-10000000</f>
        <v>47329123</v>
      </c>
      <c r="AB47" s="75"/>
      <c r="AC47" s="75"/>
      <c r="AD47" s="75"/>
      <c r="AE47" s="75"/>
      <c r="AF47" s="75"/>
      <c r="AG47" s="75"/>
      <c r="AI47" s="25">
        <f t="shared" si="79"/>
        <v>1</v>
      </c>
      <c r="AJ47" s="75">
        <f t="shared" si="50"/>
        <v>146000000</v>
      </c>
      <c r="AK47" s="75"/>
      <c r="AL47" s="75"/>
      <c r="AM47" s="75">
        <v>98670877</v>
      </c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>
        <f>+'[4]MARZO 2015'!$V$700-10000000</f>
        <v>47329123</v>
      </c>
      <c r="AY47" s="75"/>
      <c r="AZ47" s="75"/>
      <c r="BA47" s="75"/>
      <c r="BB47" s="75"/>
      <c r="BC47" s="75"/>
      <c r="BD47" s="75"/>
      <c r="BE47" s="25">
        <f t="shared" si="41"/>
        <v>0</v>
      </c>
      <c r="BF47" s="75">
        <f t="shared" si="51"/>
        <v>0</v>
      </c>
      <c r="BG47" s="75">
        <f t="shared" si="52"/>
        <v>0</v>
      </c>
      <c r="BH47" s="75">
        <f t="shared" ref="BH47:BH56" si="87">O47-AL47</f>
        <v>0</v>
      </c>
      <c r="BI47" s="75">
        <f t="shared" si="82"/>
        <v>0</v>
      </c>
      <c r="BJ47" s="75">
        <f t="shared" si="83"/>
        <v>0</v>
      </c>
      <c r="BK47" s="75"/>
      <c r="BL47" s="75">
        <f t="shared" si="54"/>
        <v>0</v>
      </c>
      <c r="BM47" s="75">
        <f t="shared" si="55"/>
        <v>0</v>
      </c>
      <c r="BN47" s="75"/>
      <c r="BO47" s="75">
        <f t="shared" si="84"/>
        <v>0</v>
      </c>
      <c r="BP47" s="75">
        <f t="shared" si="84"/>
        <v>0</v>
      </c>
      <c r="BQ47" s="75">
        <f t="shared" si="84"/>
        <v>0</v>
      </c>
      <c r="BR47" s="75">
        <f t="shared" si="57"/>
        <v>0</v>
      </c>
      <c r="BS47" s="75">
        <f t="shared" si="58"/>
        <v>0</v>
      </c>
      <c r="BT47" s="75">
        <f t="shared" si="59"/>
        <v>0</v>
      </c>
      <c r="BU47" s="75">
        <f t="shared" si="60"/>
        <v>0</v>
      </c>
      <c r="BV47" s="75">
        <f t="shared" si="61"/>
        <v>0</v>
      </c>
      <c r="BW47" s="75">
        <f t="shared" si="62"/>
        <v>0</v>
      </c>
      <c r="BX47" s="75"/>
      <c r="BY47" s="75"/>
      <c r="BZ47" s="75">
        <f t="shared" si="63"/>
        <v>0</v>
      </c>
      <c r="CA47" s="25">
        <f t="shared" si="80"/>
        <v>0.97884017808219181</v>
      </c>
      <c r="CB47" s="75">
        <f t="shared" si="64"/>
        <v>142910666</v>
      </c>
      <c r="CC47" s="75"/>
      <c r="CD47" s="75"/>
      <c r="CE47" s="75">
        <v>98670877</v>
      </c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>
        <f>+'[1]AGOSTO 2015'!$H$1417</f>
        <v>44239789</v>
      </c>
      <c r="CQ47" s="75"/>
      <c r="CR47" s="75"/>
      <c r="CS47" s="75"/>
      <c r="CT47" s="75"/>
      <c r="CU47" s="75"/>
      <c r="CV47" s="75"/>
      <c r="CW47" s="25">
        <f t="shared" si="81"/>
        <v>2.1159821917808186E-2</v>
      </c>
      <c r="CX47" s="75">
        <f t="shared" si="65"/>
        <v>3089334</v>
      </c>
      <c r="CY47" s="75"/>
      <c r="CZ47" s="75">
        <f t="shared" ref="CZ47:DA49" si="88">O47-CD47</f>
        <v>0</v>
      </c>
      <c r="DA47" s="75">
        <f t="shared" si="88"/>
        <v>0</v>
      </c>
      <c r="DB47" s="75">
        <f t="shared" si="86"/>
        <v>0</v>
      </c>
      <c r="DC47" s="75"/>
      <c r="DD47" s="75">
        <f t="shared" si="67"/>
        <v>0</v>
      </c>
      <c r="DE47" s="75">
        <f t="shared" si="68"/>
        <v>0</v>
      </c>
      <c r="DF47" s="75"/>
      <c r="DG47" s="75">
        <f t="shared" si="69"/>
        <v>0</v>
      </c>
      <c r="DH47" s="75">
        <f t="shared" si="70"/>
        <v>0</v>
      </c>
      <c r="DI47" s="75"/>
      <c r="DJ47" s="75">
        <f t="shared" si="71"/>
        <v>0</v>
      </c>
      <c r="DK47" s="75">
        <f t="shared" si="72"/>
        <v>0</v>
      </c>
      <c r="DL47" s="75">
        <f t="shared" si="73"/>
        <v>3089334</v>
      </c>
      <c r="DM47" s="75">
        <f t="shared" si="74"/>
        <v>0</v>
      </c>
      <c r="DN47" s="75">
        <f t="shared" si="75"/>
        <v>0</v>
      </c>
      <c r="DO47" s="75">
        <f t="shared" si="76"/>
        <v>0</v>
      </c>
      <c r="DP47" s="75">
        <f t="shared" si="77"/>
        <v>0</v>
      </c>
      <c r="DQ47" s="75"/>
      <c r="DR47" s="75">
        <f t="shared" si="78"/>
        <v>0</v>
      </c>
    </row>
    <row r="48" spans="1:122" ht="35.25" customHeight="1" x14ac:dyDescent="0.25">
      <c r="A48" s="226"/>
      <c r="B48" s="81" t="s">
        <v>356</v>
      </c>
      <c r="C48" s="82" t="s">
        <v>355</v>
      </c>
      <c r="D48" s="81" t="s">
        <v>354</v>
      </c>
      <c r="E48" s="97">
        <v>410</v>
      </c>
      <c r="F48" s="78" t="s">
        <v>214</v>
      </c>
      <c r="G48" s="227">
        <v>1150000000</v>
      </c>
      <c r="H48" s="79">
        <f t="shared" si="47"/>
        <v>395507537</v>
      </c>
      <c r="I48" s="79">
        <f t="shared" si="48"/>
        <v>219373463</v>
      </c>
      <c r="J48" s="78" t="s">
        <v>353</v>
      </c>
      <c r="K48" s="78" t="s">
        <v>352</v>
      </c>
      <c r="L48" s="78" t="s">
        <v>351</v>
      </c>
      <c r="M48" s="125">
        <f t="shared" si="49"/>
        <v>614881000</v>
      </c>
      <c r="N48" s="45"/>
      <c r="O48" s="75">
        <f>420000000-415119000</f>
        <v>4881000</v>
      </c>
      <c r="P48" s="75"/>
      <c r="Q48" s="75"/>
      <c r="R48" s="75"/>
      <c r="S48" s="75">
        <f>30000000+30000000+10000000+20000000</f>
        <v>90000000</v>
      </c>
      <c r="T48" s="75">
        <f>5000000+10000000</f>
        <v>15000000</v>
      </c>
      <c r="U48" s="75">
        <v>102810569</v>
      </c>
      <c r="V48" s="75">
        <v>219471348</v>
      </c>
      <c r="W48" s="75"/>
      <c r="X48" s="75"/>
      <c r="Y48" s="75"/>
      <c r="Z48" s="75"/>
      <c r="AA48" s="75">
        <f>10000000</f>
        <v>10000000</v>
      </c>
      <c r="AB48" s="75">
        <f>82718083+10000000+20000000+10000000</f>
        <v>122718083</v>
      </c>
      <c r="AC48" s="75">
        <f>30000000+10000000+10000000</f>
        <v>50000000</v>
      </c>
      <c r="AD48" s="75"/>
      <c r="AE48" s="75"/>
      <c r="AF48" s="75"/>
      <c r="AG48" s="75"/>
      <c r="AI48" s="25">
        <f t="shared" si="79"/>
        <v>1</v>
      </c>
      <c r="AJ48" s="75">
        <f t="shared" si="50"/>
        <v>614881000</v>
      </c>
      <c r="AK48" s="75"/>
      <c r="AL48" s="75">
        <f>+'[6]JUNIO 2015'!$K$1062</f>
        <v>4881000</v>
      </c>
      <c r="AM48" s="75"/>
      <c r="AN48" s="75"/>
      <c r="AO48" s="75"/>
      <c r="AP48" s="75">
        <f>+'[6]JUNIO 2015'!$O$1062</f>
        <v>90000000</v>
      </c>
      <c r="AQ48" s="75">
        <f>+'[6]JUNIO 2015'!$P$1062</f>
        <v>15000000</v>
      </c>
      <c r="AR48" s="75">
        <f>+'[5]FEBRERO 2015'!$P$585</f>
        <v>102810569</v>
      </c>
      <c r="AS48" s="75">
        <f>+'[5]FEBRERO 2015'!$Q$585</f>
        <v>219471348</v>
      </c>
      <c r="AT48" s="75"/>
      <c r="AU48" s="75"/>
      <c r="AV48" s="75"/>
      <c r="AW48" s="75"/>
      <c r="AX48" s="75">
        <f>+'[6]JUNIO 2015'!$W$1062</f>
        <v>10000000</v>
      </c>
      <c r="AY48" s="75">
        <f>+'[6]JUNIO 2015'!$X$1062</f>
        <v>122718083</v>
      </c>
      <c r="AZ48" s="75">
        <f>+'[6]JUNIO 2015'!$Y$1062</f>
        <v>50000000</v>
      </c>
      <c r="BA48" s="75"/>
      <c r="BB48" s="75"/>
      <c r="BC48" s="75"/>
      <c r="BD48" s="75"/>
      <c r="BE48" s="25">
        <f t="shared" si="41"/>
        <v>0</v>
      </c>
      <c r="BF48" s="75">
        <f t="shared" si="51"/>
        <v>0</v>
      </c>
      <c r="BG48" s="75">
        <f t="shared" si="52"/>
        <v>0</v>
      </c>
      <c r="BH48" s="75">
        <f t="shared" si="87"/>
        <v>0</v>
      </c>
      <c r="BI48" s="75">
        <f t="shared" si="82"/>
        <v>0</v>
      </c>
      <c r="BJ48" s="75">
        <f t="shared" si="83"/>
        <v>0</v>
      </c>
      <c r="BK48" s="75"/>
      <c r="BL48" s="75">
        <f t="shared" si="54"/>
        <v>0</v>
      </c>
      <c r="BM48" s="75">
        <f t="shared" si="55"/>
        <v>0</v>
      </c>
      <c r="BN48" s="75">
        <f>+U48-AR48</f>
        <v>0</v>
      </c>
      <c r="BO48" s="75">
        <f t="shared" si="84"/>
        <v>0</v>
      </c>
      <c r="BP48" s="75">
        <f t="shared" si="84"/>
        <v>0</v>
      </c>
      <c r="BQ48" s="75">
        <f t="shared" si="84"/>
        <v>0</v>
      </c>
      <c r="BR48" s="75">
        <f t="shared" si="57"/>
        <v>0</v>
      </c>
      <c r="BS48" s="75">
        <f t="shared" si="58"/>
        <v>0</v>
      </c>
      <c r="BT48" s="75">
        <f t="shared" si="59"/>
        <v>0</v>
      </c>
      <c r="BU48" s="75">
        <f t="shared" si="60"/>
        <v>0</v>
      </c>
      <c r="BV48" s="75">
        <f t="shared" si="61"/>
        <v>0</v>
      </c>
      <c r="BW48" s="75">
        <f t="shared" si="62"/>
        <v>0</v>
      </c>
      <c r="BX48" s="75"/>
      <c r="BY48" s="75"/>
      <c r="BZ48" s="75">
        <f t="shared" si="63"/>
        <v>0</v>
      </c>
      <c r="CA48" s="25">
        <f t="shared" si="80"/>
        <v>0.64322614782372523</v>
      </c>
      <c r="CB48" s="75">
        <f t="shared" si="64"/>
        <v>395507537</v>
      </c>
      <c r="CC48" s="75"/>
      <c r="CD48" s="75">
        <f>+'[1]AGOSTO 2015'!$H$1429+'[1]AGOSTO 2015'!$H$1430</f>
        <v>4881000</v>
      </c>
      <c r="CE48" s="75"/>
      <c r="CF48" s="75"/>
      <c r="CG48" s="75"/>
      <c r="CH48" s="75">
        <f>+'[1]AGOSTO 2015'!$H$1534</f>
        <v>74129574</v>
      </c>
      <c r="CI48" s="75">
        <f>+'[1]AGOSTO 2015'!$H$1562</f>
        <v>3433995</v>
      </c>
      <c r="CJ48" s="75">
        <f>+'[6]JUNIO 2015'!$H$1093</f>
        <v>102810569</v>
      </c>
      <c r="CK48" s="75">
        <f>+'[1]AGOSTO 2015'!$H$1481</f>
        <v>127534316</v>
      </c>
      <c r="CL48" s="75"/>
      <c r="CM48" s="75"/>
      <c r="CN48" s="75"/>
      <c r="CO48" s="75"/>
      <c r="CP48" s="75"/>
      <c r="CQ48" s="75">
        <f>+'[1]AGOSTO 2015'!$H$1432</f>
        <v>82718083</v>
      </c>
      <c r="CR48" s="75"/>
      <c r="CS48" s="75"/>
      <c r="CT48" s="75"/>
      <c r="CU48" s="75"/>
      <c r="CV48" s="75"/>
      <c r="CW48" s="25">
        <f t="shared" si="81"/>
        <v>0.35677385217627477</v>
      </c>
      <c r="CX48" s="75">
        <f t="shared" si="65"/>
        <v>219373463</v>
      </c>
      <c r="CY48" s="75"/>
      <c r="CZ48" s="75">
        <f t="shared" si="88"/>
        <v>0</v>
      </c>
      <c r="DA48" s="75">
        <f t="shared" si="88"/>
        <v>0</v>
      </c>
      <c r="DB48" s="75">
        <f t="shared" si="86"/>
        <v>0</v>
      </c>
      <c r="DC48" s="75"/>
      <c r="DD48" s="75">
        <f t="shared" si="67"/>
        <v>15870426</v>
      </c>
      <c r="DE48" s="75">
        <f t="shared" si="68"/>
        <v>11566005</v>
      </c>
      <c r="DF48" s="75">
        <f>U48-CJ48</f>
        <v>0</v>
      </c>
      <c r="DG48" s="75">
        <f t="shared" si="69"/>
        <v>91937032</v>
      </c>
      <c r="DH48" s="75">
        <f t="shared" si="70"/>
        <v>0</v>
      </c>
      <c r="DI48" s="75"/>
      <c r="DJ48" s="75">
        <f t="shared" si="71"/>
        <v>0</v>
      </c>
      <c r="DK48" s="75">
        <f t="shared" si="72"/>
        <v>0</v>
      </c>
      <c r="DL48" s="75">
        <f t="shared" si="73"/>
        <v>10000000</v>
      </c>
      <c r="DM48" s="75">
        <f t="shared" si="74"/>
        <v>40000000</v>
      </c>
      <c r="DN48" s="75">
        <f t="shared" si="75"/>
        <v>50000000</v>
      </c>
      <c r="DO48" s="75">
        <f t="shared" si="76"/>
        <v>0</v>
      </c>
      <c r="DP48" s="75">
        <f t="shared" si="77"/>
        <v>0</v>
      </c>
      <c r="DQ48" s="75"/>
      <c r="DR48" s="75">
        <f t="shared" si="78"/>
        <v>0</v>
      </c>
    </row>
    <row r="49" spans="1:123" ht="37.5" customHeight="1" x14ac:dyDescent="0.25">
      <c r="A49" s="226"/>
      <c r="B49" s="81"/>
      <c r="C49" s="82" t="s">
        <v>350</v>
      </c>
      <c r="D49" s="81" t="s">
        <v>349</v>
      </c>
      <c r="E49" s="97">
        <v>410</v>
      </c>
      <c r="F49" s="78" t="s">
        <v>214</v>
      </c>
      <c r="G49" s="228"/>
      <c r="H49" s="79">
        <f t="shared" si="47"/>
        <v>18550000</v>
      </c>
      <c r="I49" s="79">
        <f t="shared" si="48"/>
        <v>1450000</v>
      </c>
      <c r="J49" s="78"/>
      <c r="K49" s="78"/>
      <c r="L49" s="78"/>
      <c r="M49" s="75">
        <f t="shared" si="49"/>
        <v>20000000</v>
      </c>
      <c r="N49" s="45"/>
      <c r="O49" s="75">
        <f>20000000-18055657-1450000</f>
        <v>494343</v>
      </c>
      <c r="P49" s="75">
        <v>18055657</v>
      </c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>
        <v>1450000</v>
      </c>
      <c r="AD49" s="75"/>
      <c r="AE49" s="75"/>
      <c r="AF49" s="75"/>
      <c r="AG49" s="75"/>
      <c r="AI49" s="25">
        <f t="shared" si="79"/>
        <v>1</v>
      </c>
      <c r="AJ49" s="75">
        <f t="shared" si="50"/>
        <v>20000000</v>
      </c>
      <c r="AK49" s="75"/>
      <c r="AL49" s="75">
        <v>494343</v>
      </c>
      <c r="AM49" s="75">
        <v>18055657</v>
      </c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>
        <f>+'[2]JULIO 2015'!$Y$1386</f>
        <v>1450000</v>
      </c>
      <c r="BA49" s="75"/>
      <c r="BB49" s="75"/>
      <c r="BC49" s="75"/>
      <c r="BD49" s="75"/>
      <c r="BE49" s="25">
        <f t="shared" si="41"/>
        <v>0</v>
      </c>
      <c r="BF49" s="75">
        <f t="shared" si="51"/>
        <v>0</v>
      </c>
      <c r="BG49" s="75">
        <f t="shared" si="52"/>
        <v>0</v>
      </c>
      <c r="BH49" s="75">
        <f t="shared" si="87"/>
        <v>0</v>
      </c>
      <c r="BI49" s="75">
        <f t="shared" si="82"/>
        <v>0</v>
      </c>
      <c r="BJ49" s="75">
        <f t="shared" si="83"/>
        <v>0</v>
      </c>
      <c r="BK49" s="75"/>
      <c r="BL49" s="75">
        <f t="shared" si="54"/>
        <v>0</v>
      </c>
      <c r="BM49" s="75">
        <f t="shared" si="55"/>
        <v>0</v>
      </c>
      <c r="BN49" s="75"/>
      <c r="BO49" s="75"/>
      <c r="BP49" s="75">
        <f>+W49-AT49</f>
        <v>0</v>
      </c>
      <c r="BQ49" s="75"/>
      <c r="BR49" s="75">
        <f t="shared" si="57"/>
        <v>0</v>
      </c>
      <c r="BS49" s="75">
        <f t="shared" si="58"/>
        <v>0</v>
      </c>
      <c r="BT49" s="75">
        <f t="shared" si="59"/>
        <v>0</v>
      </c>
      <c r="BU49" s="75">
        <f t="shared" si="60"/>
        <v>0</v>
      </c>
      <c r="BV49" s="75">
        <f t="shared" si="61"/>
        <v>0</v>
      </c>
      <c r="BW49" s="75">
        <f t="shared" si="62"/>
        <v>0</v>
      </c>
      <c r="BX49" s="75"/>
      <c r="BY49" s="75"/>
      <c r="BZ49" s="75">
        <f t="shared" si="63"/>
        <v>0</v>
      </c>
      <c r="CA49" s="25">
        <f t="shared" si="80"/>
        <v>0.92749999999999999</v>
      </c>
      <c r="CB49" s="75">
        <f t="shared" si="64"/>
        <v>18550000</v>
      </c>
      <c r="CC49" s="75"/>
      <c r="CD49" s="75">
        <f>20000000-18055657-1450000</f>
        <v>494343</v>
      </c>
      <c r="CE49" s="75">
        <v>18055657</v>
      </c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  <c r="CR49" s="75"/>
      <c r="CS49" s="75"/>
      <c r="CT49" s="75"/>
      <c r="CU49" s="75"/>
      <c r="CV49" s="75"/>
      <c r="CW49" s="25">
        <f t="shared" si="81"/>
        <v>7.2500000000000009E-2</v>
      </c>
      <c r="CX49" s="75">
        <f t="shared" si="65"/>
        <v>1450000</v>
      </c>
      <c r="CY49" s="75"/>
      <c r="CZ49" s="75">
        <f t="shared" si="88"/>
        <v>0</v>
      </c>
      <c r="DA49" s="75">
        <f t="shared" si="88"/>
        <v>0</v>
      </c>
      <c r="DB49" s="75">
        <f t="shared" si="86"/>
        <v>0</v>
      </c>
      <c r="DC49" s="75"/>
      <c r="DD49" s="75">
        <f t="shared" si="67"/>
        <v>0</v>
      </c>
      <c r="DE49" s="75">
        <f t="shared" si="68"/>
        <v>0</v>
      </c>
      <c r="DF49" s="75"/>
      <c r="DG49" s="75">
        <f t="shared" si="69"/>
        <v>0</v>
      </c>
      <c r="DH49" s="75">
        <f t="shared" si="70"/>
        <v>0</v>
      </c>
      <c r="DI49" s="75"/>
      <c r="DJ49" s="75">
        <f t="shared" si="71"/>
        <v>0</v>
      </c>
      <c r="DK49" s="75">
        <f t="shared" si="72"/>
        <v>0</v>
      </c>
      <c r="DL49" s="75">
        <f t="shared" si="73"/>
        <v>0</v>
      </c>
      <c r="DM49" s="75">
        <f t="shared" si="74"/>
        <v>0</v>
      </c>
      <c r="DN49" s="75">
        <f t="shared" si="75"/>
        <v>1450000</v>
      </c>
      <c r="DO49" s="75">
        <f t="shared" si="76"/>
        <v>0</v>
      </c>
      <c r="DP49" s="75">
        <f t="shared" si="77"/>
        <v>0</v>
      </c>
      <c r="DQ49" s="75"/>
      <c r="DR49" s="75">
        <f t="shared" si="78"/>
        <v>0</v>
      </c>
    </row>
    <row r="50" spans="1:123" ht="44.25" customHeight="1" x14ac:dyDescent="0.25">
      <c r="A50" s="226"/>
      <c r="B50" s="81"/>
      <c r="C50" s="82" t="s">
        <v>348</v>
      </c>
      <c r="D50" s="81" t="s">
        <v>347</v>
      </c>
      <c r="E50" s="97">
        <v>410</v>
      </c>
      <c r="F50" s="78" t="s">
        <v>346</v>
      </c>
      <c r="G50" s="228"/>
      <c r="H50" s="79">
        <f t="shared" si="47"/>
        <v>6594500</v>
      </c>
      <c r="I50" s="79">
        <f t="shared" si="48"/>
        <v>24905500</v>
      </c>
      <c r="J50" s="78" t="s">
        <v>344</v>
      </c>
      <c r="K50" s="78" t="s">
        <v>345</v>
      </c>
      <c r="L50" s="78" t="s">
        <v>344</v>
      </c>
      <c r="M50" s="75">
        <f t="shared" si="49"/>
        <v>31500000</v>
      </c>
      <c r="N50" s="4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>
        <f>14000000-10000000</f>
        <v>4000000</v>
      </c>
      <c r="AC50" s="75"/>
      <c r="AD50" s="75"/>
      <c r="AE50" s="75"/>
      <c r="AF50" s="75"/>
      <c r="AG50" s="75">
        <f>5000000+2500000+5000000+15000000</f>
        <v>27500000</v>
      </c>
      <c r="AI50" s="25">
        <f t="shared" si="79"/>
        <v>0.36507936507936506</v>
      </c>
      <c r="AJ50" s="75">
        <f t="shared" si="50"/>
        <v>11500000</v>
      </c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>
        <v>4000000</v>
      </c>
      <c r="AZ50" s="75"/>
      <c r="BA50" s="75"/>
      <c r="BB50" s="75"/>
      <c r="BC50" s="75"/>
      <c r="BD50" s="75">
        <f>+'[8]FEBRERO 2015'!$AC$565</f>
        <v>7500000</v>
      </c>
      <c r="BE50" s="25">
        <f t="shared" si="41"/>
        <v>0.63492063492063489</v>
      </c>
      <c r="BF50" s="75">
        <f t="shared" si="51"/>
        <v>20000000</v>
      </c>
      <c r="BG50" s="75">
        <f t="shared" si="52"/>
        <v>0</v>
      </c>
      <c r="BH50" s="75">
        <f t="shared" si="87"/>
        <v>0</v>
      </c>
      <c r="BI50" s="75">
        <f t="shared" si="82"/>
        <v>0</v>
      </c>
      <c r="BJ50" s="75">
        <f t="shared" si="83"/>
        <v>0</v>
      </c>
      <c r="BK50" s="75"/>
      <c r="BL50" s="75">
        <f t="shared" si="54"/>
        <v>0</v>
      </c>
      <c r="BM50" s="75">
        <f t="shared" si="55"/>
        <v>0</v>
      </c>
      <c r="BN50" s="75"/>
      <c r="BO50" s="75"/>
      <c r="BP50" s="75">
        <f>+W50-AT50</f>
        <v>0</v>
      </c>
      <c r="BQ50" s="75"/>
      <c r="BR50" s="75">
        <f t="shared" si="57"/>
        <v>0</v>
      </c>
      <c r="BS50" s="75">
        <f t="shared" si="58"/>
        <v>0</v>
      </c>
      <c r="BT50" s="75">
        <f t="shared" si="59"/>
        <v>0</v>
      </c>
      <c r="BU50" s="75">
        <f t="shared" si="60"/>
        <v>0</v>
      </c>
      <c r="BV50" s="75">
        <f t="shared" si="61"/>
        <v>0</v>
      </c>
      <c r="BW50" s="75">
        <f t="shared" si="62"/>
        <v>0</v>
      </c>
      <c r="BX50" s="75"/>
      <c r="BY50" s="75"/>
      <c r="BZ50" s="75">
        <f t="shared" si="63"/>
        <v>20000000</v>
      </c>
      <c r="CA50" s="25">
        <f t="shared" si="80"/>
        <v>0.20934920634920634</v>
      </c>
      <c r="CB50" s="75">
        <f t="shared" si="64"/>
        <v>6594500</v>
      </c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>
        <f>+'[2]JULIO 2015'!$H$1401</f>
        <v>4000000</v>
      </c>
      <c r="CR50" s="75"/>
      <c r="CS50" s="75"/>
      <c r="CT50" s="75"/>
      <c r="CU50" s="75"/>
      <c r="CV50" s="75">
        <f>+'[6]JUNIO 2015'!$H$1171</f>
        <v>2594500</v>
      </c>
      <c r="CW50" s="25">
        <f t="shared" si="81"/>
        <v>0.7906507936507936</v>
      </c>
      <c r="CX50" s="75">
        <f t="shared" si="65"/>
        <v>24905500</v>
      </c>
      <c r="CY50" s="75"/>
      <c r="CZ50" s="75"/>
      <c r="DA50" s="75"/>
      <c r="DB50" s="75">
        <f t="shared" si="86"/>
        <v>0</v>
      </c>
      <c r="DC50" s="75"/>
      <c r="DD50" s="75">
        <f t="shared" si="67"/>
        <v>0</v>
      </c>
      <c r="DE50" s="75">
        <f t="shared" si="68"/>
        <v>0</v>
      </c>
      <c r="DF50" s="75"/>
      <c r="DG50" s="75">
        <f t="shared" si="69"/>
        <v>0</v>
      </c>
      <c r="DH50" s="75">
        <f t="shared" si="70"/>
        <v>0</v>
      </c>
      <c r="DI50" s="75"/>
      <c r="DJ50" s="75">
        <f t="shared" si="71"/>
        <v>0</v>
      </c>
      <c r="DK50" s="75">
        <f t="shared" si="72"/>
        <v>0</v>
      </c>
      <c r="DL50" s="75">
        <f t="shared" si="73"/>
        <v>0</v>
      </c>
      <c r="DM50" s="75">
        <f t="shared" si="74"/>
        <v>0</v>
      </c>
      <c r="DN50" s="75">
        <f t="shared" si="75"/>
        <v>0</v>
      </c>
      <c r="DO50" s="75">
        <f t="shared" si="76"/>
        <v>0</v>
      </c>
      <c r="DP50" s="75">
        <f t="shared" si="77"/>
        <v>0</v>
      </c>
      <c r="DQ50" s="75"/>
      <c r="DR50" s="75">
        <f t="shared" si="78"/>
        <v>24905500</v>
      </c>
    </row>
    <row r="51" spans="1:123" ht="33" customHeight="1" x14ac:dyDescent="0.25">
      <c r="A51" s="226"/>
      <c r="B51" s="81"/>
      <c r="C51" s="82" t="s">
        <v>343</v>
      </c>
      <c r="D51" s="81" t="s">
        <v>342</v>
      </c>
      <c r="E51" s="97">
        <v>410</v>
      </c>
      <c r="F51" s="78" t="s">
        <v>267</v>
      </c>
      <c r="G51" s="228"/>
      <c r="H51" s="79">
        <f t="shared" si="47"/>
        <v>0</v>
      </c>
      <c r="I51" s="79">
        <f t="shared" si="48"/>
        <v>7000000</v>
      </c>
      <c r="J51" s="78"/>
      <c r="K51" s="78"/>
      <c r="L51" s="78"/>
      <c r="M51" s="75">
        <f t="shared" si="49"/>
        <v>7000000</v>
      </c>
      <c r="N51" s="4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>
        <f>2000000+5000000</f>
        <v>7000000</v>
      </c>
      <c r="AI51" s="25">
        <f t="shared" si="79"/>
        <v>0.2857142857142857</v>
      </c>
      <c r="AJ51" s="75">
        <f t="shared" si="50"/>
        <v>2000000</v>
      </c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>
        <f>+'[8]FEBRERO 2015'!$AC$571</f>
        <v>2000000</v>
      </c>
      <c r="BE51" s="25">
        <f t="shared" si="41"/>
        <v>0.7142857142857143</v>
      </c>
      <c r="BF51" s="75">
        <f t="shared" si="51"/>
        <v>5000000</v>
      </c>
      <c r="BG51" s="75">
        <f t="shared" si="52"/>
        <v>0</v>
      </c>
      <c r="BH51" s="75">
        <f t="shared" si="87"/>
        <v>0</v>
      </c>
      <c r="BI51" s="75">
        <f t="shared" si="82"/>
        <v>0</v>
      </c>
      <c r="BJ51" s="75">
        <f t="shared" si="83"/>
        <v>0</v>
      </c>
      <c r="BK51" s="75"/>
      <c r="BL51" s="75">
        <f t="shared" si="54"/>
        <v>0</v>
      </c>
      <c r="BM51" s="75">
        <f t="shared" si="55"/>
        <v>0</v>
      </c>
      <c r="BN51" s="75"/>
      <c r="BO51" s="75"/>
      <c r="BP51" s="75">
        <f>+W51-AT51</f>
        <v>0</v>
      </c>
      <c r="BQ51" s="75"/>
      <c r="BR51" s="75">
        <f t="shared" si="57"/>
        <v>0</v>
      </c>
      <c r="BS51" s="75">
        <f t="shared" si="58"/>
        <v>0</v>
      </c>
      <c r="BT51" s="75">
        <f t="shared" si="59"/>
        <v>0</v>
      </c>
      <c r="BU51" s="75">
        <f t="shared" si="60"/>
        <v>0</v>
      </c>
      <c r="BV51" s="75">
        <f t="shared" si="61"/>
        <v>0</v>
      </c>
      <c r="BW51" s="75">
        <f t="shared" si="62"/>
        <v>0</v>
      </c>
      <c r="BX51" s="75"/>
      <c r="BY51" s="75"/>
      <c r="BZ51" s="75">
        <f t="shared" si="63"/>
        <v>5000000</v>
      </c>
      <c r="CA51" s="25">
        <f t="shared" si="80"/>
        <v>0</v>
      </c>
      <c r="CB51" s="75">
        <f t="shared" si="64"/>
        <v>0</v>
      </c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  <c r="CR51" s="75"/>
      <c r="CS51" s="75"/>
      <c r="CT51" s="75"/>
      <c r="CU51" s="75"/>
      <c r="CV51" s="75"/>
      <c r="CW51" s="25">
        <f t="shared" si="81"/>
        <v>1</v>
      </c>
      <c r="CX51" s="75">
        <f t="shared" si="65"/>
        <v>7000000</v>
      </c>
      <c r="CY51" s="75"/>
      <c r="CZ51" s="75"/>
      <c r="DA51" s="75"/>
      <c r="DB51" s="75">
        <f t="shared" si="86"/>
        <v>0</v>
      </c>
      <c r="DC51" s="75"/>
      <c r="DD51" s="75">
        <f t="shared" si="67"/>
        <v>0</v>
      </c>
      <c r="DE51" s="75">
        <f t="shared" si="68"/>
        <v>0</v>
      </c>
      <c r="DF51" s="75"/>
      <c r="DG51" s="75">
        <f t="shared" si="69"/>
        <v>0</v>
      </c>
      <c r="DH51" s="75">
        <f t="shared" si="70"/>
        <v>0</v>
      </c>
      <c r="DI51" s="75"/>
      <c r="DJ51" s="75">
        <f t="shared" si="71"/>
        <v>0</v>
      </c>
      <c r="DK51" s="75">
        <f t="shared" si="72"/>
        <v>0</v>
      </c>
      <c r="DL51" s="75">
        <f t="shared" si="73"/>
        <v>0</v>
      </c>
      <c r="DM51" s="75">
        <f t="shared" si="74"/>
        <v>0</v>
      </c>
      <c r="DN51" s="75">
        <f t="shared" si="75"/>
        <v>0</v>
      </c>
      <c r="DO51" s="75">
        <f t="shared" si="76"/>
        <v>0</v>
      </c>
      <c r="DP51" s="75">
        <f t="shared" si="77"/>
        <v>0</v>
      </c>
      <c r="DQ51" s="75"/>
      <c r="DR51" s="75">
        <f t="shared" si="78"/>
        <v>7000000</v>
      </c>
    </row>
    <row r="52" spans="1:123" ht="21.75" customHeight="1" x14ac:dyDescent="0.25">
      <c r="A52" s="226"/>
      <c r="B52" s="81"/>
      <c r="C52" s="82" t="s">
        <v>341</v>
      </c>
      <c r="D52" s="81" t="s">
        <v>340</v>
      </c>
      <c r="E52" s="97">
        <v>410</v>
      </c>
      <c r="F52" s="78" t="s">
        <v>214</v>
      </c>
      <c r="G52" s="229"/>
      <c r="H52" s="79">
        <f t="shared" si="47"/>
        <v>477702868</v>
      </c>
      <c r="I52" s="79">
        <f t="shared" si="48"/>
        <v>222297132</v>
      </c>
      <c r="J52" s="78"/>
      <c r="K52" s="78"/>
      <c r="L52" s="78"/>
      <c r="M52" s="75">
        <f t="shared" si="49"/>
        <v>700000000</v>
      </c>
      <c r="N52" s="4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>
        <v>700000000</v>
      </c>
      <c r="AA52" s="75"/>
      <c r="AB52" s="75"/>
      <c r="AC52" s="75"/>
      <c r="AD52" s="75"/>
      <c r="AE52" s="75"/>
      <c r="AF52" s="75"/>
      <c r="AG52" s="75"/>
      <c r="AI52" s="25">
        <f t="shared" si="79"/>
        <v>0.87039913571428573</v>
      </c>
      <c r="AJ52" s="75">
        <f t="shared" si="50"/>
        <v>609279395</v>
      </c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>
        <v>609279395</v>
      </c>
      <c r="AX52" s="75"/>
      <c r="AY52" s="75"/>
      <c r="AZ52" s="75"/>
      <c r="BA52" s="75"/>
      <c r="BB52" s="75"/>
      <c r="BC52" s="75"/>
      <c r="BD52" s="75"/>
      <c r="BE52" s="25">
        <f t="shared" si="41"/>
        <v>0.12960086428571427</v>
      </c>
      <c r="BF52" s="75">
        <f t="shared" si="51"/>
        <v>90720605</v>
      </c>
      <c r="BG52" s="75">
        <f t="shared" si="52"/>
        <v>0</v>
      </c>
      <c r="BH52" s="75">
        <f t="shared" si="87"/>
        <v>0</v>
      </c>
      <c r="BI52" s="75">
        <f t="shared" si="82"/>
        <v>0</v>
      </c>
      <c r="BJ52" s="75">
        <f t="shared" si="83"/>
        <v>0</v>
      </c>
      <c r="BK52" s="75"/>
      <c r="BL52" s="75">
        <f t="shared" si="54"/>
        <v>0</v>
      </c>
      <c r="BM52" s="75">
        <f t="shared" si="55"/>
        <v>0</v>
      </c>
      <c r="BN52" s="75"/>
      <c r="BO52" s="75">
        <f>+V52-AS52</f>
        <v>0</v>
      </c>
      <c r="BP52" s="75">
        <f>+W52-AT52</f>
        <v>0</v>
      </c>
      <c r="BQ52" s="75">
        <f>+X52-AU52</f>
        <v>0</v>
      </c>
      <c r="BR52" s="75">
        <f t="shared" si="57"/>
        <v>0</v>
      </c>
      <c r="BS52" s="75">
        <f t="shared" si="58"/>
        <v>90720605</v>
      </c>
      <c r="BT52" s="75">
        <f t="shared" si="59"/>
        <v>0</v>
      </c>
      <c r="BU52" s="75">
        <f t="shared" si="60"/>
        <v>0</v>
      </c>
      <c r="BV52" s="75">
        <f t="shared" si="61"/>
        <v>0</v>
      </c>
      <c r="BW52" s="75">
        <f t="shared" si="62"/>
        <v>0</v>
      </c>
      <c r="BX52" s="75"/>
      <c r="BY52" s="75"/>
      <c r="BZ52" s="75">
        <f t="shared" si="63"/>
        <v>0</v>
      </c>
      <c r="CA52" s="25">
        <f t="shared" si="80"/>
        <v>0.68243266857142859</v>
      </c>
      <c r="CB52" s="75">
        <f t="shared" si="64"/>
        <v>477702868</v>
      </c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>
        <f>+'[1]AGOSTO 2015'!$H$1591</f>
        <v>477702868</v>
      </c>
      <c r="CP52" s="75"/>
      <c r="CQ52" s="75"/>
      <c r="CR52" s="75"/>
      <c r="CS52" s="75"/>
      <c r="CT52" s="75"/>
      <c r="CU52" s="75"/>
      <c r="CV52" s="75"/>
      <c r="CW52" s="25">
        <f t="shared" si="81"/>
        <v>0.31756733142857141</v>
      </c>
      <c r="CX52" s="75">
        <f t="shared" si="65"/>
        <v>222297132</v>
      </c>
      <c r="CY52" s="75"/>
      <c r="CZ52" s="75"/>
      <c r="DA52" s="75"/>
      <c r="DB52" s="75">
        <f t="shared" si="86"/>
        <v>0</v>
      </c>
      <c r="DC52" s="75"/>
      <c r="DD52" s="75">
        <f t="shared" si="67"/>
        <v>0</v>
      </c>
      <c r="DE52" s="75">
        <f t="shared" si="68"/>
        <v>0</v>
      </c>
      <c r="DF52" s="75"/>
      <c r="DG52" s="75">
        <f t="shared" si="69"/>
        <v>0</v>
      </c>
      <c r="DH52" s="75">
        <f t="shared" si="70"/>
        <v>0</v>
      </c>
      <c r="DI52" s="75"/>
      <c r="DJ52" s="75">
        <f t="shared" si="71"/>
        <v>0</v>
      </c>
      <c r="DK52" s="75">
        <f t="shared" si="72"/>
        <v>222297132</v>
      </c>
      <c r="DL52" s="75">
        <f t="shared" si="73"/>
        <v>0</v>
      </c>
      <c r="DM52" s="75">
        <f t="shared" si="74"/>
        <v>0</v>
      </c>
      <c r="DN52" s="75">
        <f t="shared" si="75"/>
        <v>0</v>
      </c>
      <c r="DO52" s="75">
        <f t="shared" si="76"/>
        <v>0</v>
      </c>
      <c r="DP52" s="75">
        <f t="shared" si="77"/>
        <v>0</v>
      </c>
      <c r="DQ52" s="75"/>
      <c r="DR52" s="75">
        <f t="shared" si="78"/>
        <v>0</v>
      </c>
    </row>
    <row r="53" spans="1:123" ht="49.5" customHeight="1" x14ac:dyDescent="0.25">
      <c r="A53" s="226"/>
      <c r="B53" s="81" t="s">
        <v>339</v>
      </c>
      <c r="C53" s="82" t="s">
        <v>338</v>
      </c>
      <c r="D53" s="81" t="s">
        <v>337</v>
      </c>
      <c r="E53" s="97">
        <v>410</v>
      </c>
      <c r="F53" s="78" t="s">
        <v>297</v>
      </c>
      <c r="G53" s="227">
        <v>1104000000</v>
      </c>
      <c r="H53" s="79">
        <f t="shared" si="47"/>
        <v>237292</v>
      </c>
      <c r="I53" s="79">
        <f t="shared" si="48"/>
        <v>5762708</v>
      </c>
      <c r="J53" s="78"/>
      <c r="K53" s="78"/>
      <c r="L53" s="78"/>
      <c r="M53" s="75">
        <f t="shared" si="49"/>
        <v>6000000</v>
      </c>
      <c r="N53" s="4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>
        <f>4000000+2000000</f>
        <v>6000000</v>
      </c>
      <c r="AI53" s="25">
        <f t="shared" si="79"/>
        <v>1</v>
      </c>
      <c r="AJ53" s="75">
        <f t="shared" si="50"/>
        <v>6000000</v>
      </c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>
        <f>+'[2]JULIO 2015'!$AD$1462</f>
        <v>6000000</v>
      </c>
      <c r="BE53" s="25">
        <f t="shared" si="41"/>
        <v>0</v>
      </c>
      <c r="BF53" s="75">
        <f t="shared" si="51"/>
        <v>0</v>
      </c>
      <c r="BG53" s="75">
        <f t="shared" si="52"/>
        <v>0</v>
      </c>
      <c r="BH53" s="75">
        <f t="shared" si="87"/>
        <v>0</v>
      </c>
      <c r="BI53" s="75">
        <f t="shared" si="82"/>
        <v>0</v>
      </c>
      <c r="BJ53" s="75">
        <f t="shared" si="83"/>
        <v>0</v>
      </c>
      <c r="BK53" s="75"/>
      <c r="BL53" s="75">
        <f t="shared" si="54"/>
        <v>0</v>
      </c>
      <c r="BM53" s="75">
        <f t="shared" si="55"/>
        <v>0</v>
      </c>
      <c r="BN53" s="75"/>
      <c r="BO53" s="75">
        <f>+V53-AT53</f>
        <v>0</v>
      </c>
      <c r="BP53" s="75">
        <f>+W53-AT53</f>
        <v>0</v>
      </c>
      <c r="BQ53" s="75">
        <f>+X53-AU53</f>
        <v>0</v>
      </c>
      <c r="BR53" s="75">
        <f t="shared" si="57"/>
        <v>0</v>
      </c>
      <c r="BS53" s="75">
        <f t="shared" si="58"/>
        <v>0</v>
      </c>
      <c r="BT53" s="75">
        <f t="shared" si="59"/>
        <v>0</v>
      </c>
      <c r="BU53" s="75">
        <f t="shared" si="60"/>
        <v>0</v>
      </c>
      <c r="BV53" s="75">
        <f t="shared" si="61"/>
        <v>0</v>
      </c>
      <c r="BW53" s="75">
        <f t="shared" si="62"/>
        <v>0</v>
      </c>
      <c r="BX53" s="75">
        <f>+AE53-BB53</f>
        <v>0</v>
      </c>
      <c r="BY53" s="75">
        <f>+AF53-BC53</f>
        <v>0</v>
      </c>
      <c r="BZ53" s="75">
        <f t="shared" si="63"/>
        <v>0</v>
      </c>
      <c r="CA53" s="25">
        <f t="shared" si="80"/>
        <v>3.9548666666666669E-2</v>
      </c>
      <c r="CB53" s="75">
        <f t="shared" si="64"/>
        <v>237292</v>
      </c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>
        <f>+'[1]AGOSTO 2015'!$H$1644</f>
        <v>237292</v>
      </c>
      <c r="CW53" s="25">
        <f t="shared" si="81"/>
        <v>0.96045133333333332</v>
      </c>
      <c r="CX53" s="75">
        <f t="shared" si="65"/>
        <v>5762708</v>
      </c>
      <c r="CY53" s="75"/>
      <c r="CZ53" s="75"/>
      <c r="DA53" s="75"/>
      <c r="DB53" s="75">
        <f t="shared" si="86"/>
        <v>0</v>
      </c>
      <c r="DC53" s="75"/>
      <c r="DD53" s="75">
        <f t="shared" si="67"/>
        <v>0</v>
      </c>
      <c r="DE53" s="75">
        <f t="shared" si="68"/>
        <v>0</v>
      </c>
      <c r="DF53" s="75"/>
      <c r="DG53" s="75">
        <f t="shared" si="69"/>
        <v>0</v>
      </c>
      <c r="DH53" s="75">
        <f t="shared" si="70"/>
        <v>0</v>
      </c>
      <c r="DI53" s="75"/>
      <c r="DJ53" s="75">
        <f t="shared" si="71"/>
        <v>0</v>
      </c>
      <c r="DK53" s="75">
        <f t="shared" si="72"/>
        <v>0</v>
      </c>
      <c r="DL53" s="75">
        <f t="shared" si="73"/>
        <v>0</v>
      </c>
      <c r="DM53" s="75">
        <f t="shared" si="74"/>
        <v>0</v>
      </c>
      <c r="DN53" s="75">
        <f t="shared" si="75"/>
        <v>0</v>
      </c>
      <c r="DO53" s="75">
        <f t="shared" si="76"/>
        <v>0</v>
      </c>
      <c r="DP53" s="75">
        <f t="shared" si="77"/>
        <v>0</v>
      </c>
      <c r="DQ53" s="75"/>
      <c r="DR53" s="75">
        <f t="shared" si="78"/>
        <v>5762708</v>
      </c>
    </row>
    <row r="54" spans="1:123" ht="32.25" customHeight="1" x14ac:dyDescent="0.25">
      <c r="A54" s="226"/>
      <c r="B54" s="81"/>
      <c r="C54" s="82" t="s">
        <v>336</v>
      </c>
      <c r="D54" s="81" t="s">
        <v>335</v>
      </c>
      <c r="E54" s="97">
        <v>410</v>
      </c>
      <c r="F54" s="78" t="s">
        <v>214</v>
      </c>
      <c r="G54" s="228"/>
      <c r="H54" s="79">
        <f t="shared" si="47"/>
        <v>68304224</v>
      </c>
      <c r="I54" s="79">
        <f t="shared" si="48"/>
        <v>49135813</v>
      </c>
      <c r="J54" s="78"/>
      <c r="K54" s="78"/>
      <c r="L54" s="78"/>
      <c r="M54" s="75">
        <f t="shared" si="49"/>
        <v>117440037</v>
      </c>
      <c r="N54" s="45"/>
      <c r="O54" s="75">
        <f>400000000-352559963</f>
        <v>47440037</v>
      </c>
      <c r="P54" s="75"/>
      <c r="Q54" s="75"/>
      <c r="R54" s="75"/>
      <c r="S54" s="75">
        <v>50000000</v>
      </c>
      <c r="T54" s="75"/>
      <c r="U54" s="75"/>
      <c r="V54" s="75"/>
      <c r="W54" s="75"/>
      <c r="X54" s="75"/>
      <c r="Y54" s="75"/>
      <c r="Z54" s="75"/>
      <c r="AA54" s="75"/>
      <c r="AB54" s="75"/>
      <c r="AC54" s="75">
        <v>20000000</v>
      </c>
      <c r="AD54" s="75"/>
      <c r="AE54" s="75"/>
      <c r="AF54" s="75"/>
      <c r="AG54" s="75"/>
      <c r="AI54" s="25">
        <f t="shared" si="79"/>
        <v>1</v>
      </c>
      <c r="AJ54" s="75">
        <f t="shared" si="50"/>
        <v>117440037</v>
      </c>
      <c r="AK54" s="75"/>
      <c r="AL54" s="75">
        <f>+'[6]JUNIO 2015'!$K$1243</f>
        <v>47440037</v>
      </c>
      <c r="AM54" s="75"/>
      <c r="AN54" s="75"/>
      <c r="AO54" s="75"/>
      <c r="AP54" s="75">
        <f>+'[6]JUNIO 2015'!$O$1243</f>
        <v>50000000</v>
      </c>
      <c r="AQ54" s="75"/>
      <c r="AR54" s="75"/>
      <c r="AS54" s="75"/>
      <c r="AT54" s="75"/>
      <c r="AU54" s="75"/>
      <c r="AV54" s="75"/>
      <c r="AW54" s="75"/>
      <c r="AX54" s="75"/>
      <c r="AY54" s="75"/>
      <c r="AZ54" s="75">
        <f>+'[2]JULIO 2015'!$Y$1469</f>
        <v>20000000</v>
      </c>
      <c r="BA54" s="75"/>
      <c r="BB54" s="75"/>
      <c r="BC54" s="75"/>
      <c r="BD54" s="75"/>
      <c r="BE54" s="25">
        <f t="shared" si="41"/>
        <v>0</v>
      </c>
      <c r="BF54" s="75">
        <f t="shared" si="51"/>
        <v>0</v>
      </c>
      <c r="BG54" s="75">
        <f t="shared" si="52"/>
        <v>0</v>
      </c>
      <c r="BH54" s="75">
        <f t="shared" si="87"/>
        <v>0</v>
      </c>
      <c r="BI54" s="75">
        <f t="shared" si="82"/>
        <v>0</v>
      </c>
      <c r="BJ54" s="75">
        <f t="shared" si="83"/>
        <v>0</v>
      </c>
      <c r="BK54" s="75"/>
      <c r="BL54" s="75">
        <f t="shared" si="54"/>
        <v>0</v>
      </c>
      <c r="BM54" s="75">
        <f t="shared" si="55"/>
        <v>0</v>
      </c>
      <c r="BN54" s="75"/>
      <c r="BO54" s="75">
        <f>+V54-AT54</f>
        <v>0</v>
      </c>
      <c r="BP54" s="75">
        <f>+W54-AU54</f>
        <v>0</v>
      </c>
      <c r="BQ54" s="75">
        <f>+X54-AV54</f>
        <v>0</v>
      </c>
      <c r="BR54" s="75">
        <f t="shared" si="57"/>
        <v>0</v>
      </c>
      <c r="BS54" s="75">
        <f t="shared" si="58"/>
        <v>0</v>
      </c>
      <c r="BT54" s="75">
        <f t="shared" si="59"/>
        <v>0</v>
      </c>
      <c r="BU54" s="75">
        <f t="shared" si="60"/>
        <v>0</v>
      </c>
      <c r="BV54" s="75">
        <f t="shared" si="61"/>
        <v>0</v>
      </c>
      <c r="BW54" s="75">
        <f t="shared" si="62"/>
        <v>0</v>
      </c>
      <c r="BX54" s="75">
        <f>+AE54-BB54</f>
        <v>0</v>
      </c>
      <c r="BY54" s="75">
        <f>+AF54-BC54</f>
        <v>0</v>
      </c>
      <c r="BZ54" s="75">
        <f t="shared" si="63"/>
        <v>0</v>
      </c>
      <c r="CA54" s="25">
        <f t="shared" si="80"/>
        <v>0.58160935354609944</v>
      </c>
      <c r="CB54" s="75">
        <f t="shared" si="64"/>
        <v>68304224</v>
      </c>
      <c r="CC54" s="75"/>
      <c r="CD54" s="75">
        <f>+'[2]JULIO 2015'!$H$1471+'[2]JULIO 2015'!$H$1473+'[2]JULIO 2015'!$H$1477+'[2]JULIO 2015'!$H$1480+'[2]JULIO 2015'!$H$1485+'[2]JULIO 2015'!$H$1490+'[2]JULIO 2015'!$H$1493+'[2]JULIO 2015'!$H$1496+'[2]JULIO 2015'!$H$1502+'[2]JULIO 2015'!$H$1504</f>
        <v>47440037</v>
      </c>
      <c r="CE54" s="75"/>
      <c r="CF54" s="75"/>
      <c r="CG54" s="75"/>
      <c r="CH54" s="75">
        <f>+'[2]JULIO 2015'!$H$1506</f>
        <v>14002131</v>
      </c>
      <c r="CI54" s="75"/>
      <c r="CJ54" s="75"/>
      <c r="CK54" s="75"/>
      <c r="CL54" s="75"/>
      <c r="CM54" s="75"/>
      <c r="CN54" s="75"/>
      <c r="CO54" s="75"/>
      <c r="CP54" s="75"/>
      <c r="CQ54" s="75"/>
      <c r="CR54" s="75">
        <f>+'[2]JULIO 2015'!$H$1511</f>
        <v>6862056</v>
      </c>
      <c r="CS54" s="75"/>
      <c r="CT54" s="75"/>
      <c r="CU54" s="75"/>
      <c r="CV54" s="75"/>
      <c r="CW54" s="25">
        <f t="shared" si="81"/>
        <v>0.41839064645390056</v>
      </c>
      <c r="CX54" s="75">
        <f t="shared" si="65"/>
        <v>49135813</v>
      </c>
      <c r="CY54" s="75"/>
      <c r="CZ54" s="75">
        <f>O54-CD54</f>
        <v>0</v>
      </c>
      <c r="DA54" s="75">
        <f>P54-CE54</f>
        <v>0</v>
      </c>
      <c r="DB54" s="75">
        <f t="shared" si="86"/>
        <v>0</v>
      </c>
      <c r="DC54" s="75"/>
      <c r="DD54" s="75">
        <f t="shared" si="67"/>
        <v>35997869</v>
      </c>
      <c r="DE54" s="75">
        <f t="shared" si="68"/>
        <v>0</v>
      </c>
      <c r="DF54" s="75"/>
      <c r="DG54" s="75">
        <f t="shared" si="69"/>
        <v>0</v>
      </c>
      <c r="DH54" s="75">
        <f t="shared" si="70"/>
        <v>0</v>
      </c>
      <c r="DI54" s="75"/>
      <c r="DJ54" s="75">
        <f t="shared" si="71"/>
        <v>0</v>
      </c>
      <c r="DK54" s="75">
        <f t="shared" si="72"/>
        <v>0</v>
      </c>
      <c r="DL54" s="75">
        <f t="shared" si="73"/>
        <v>0</v>
      </c>
      <c r="DM54" s="75">
        <f t="shared" si="74"/>
        <v>0</v>
      </c>
      <c r="DN54" s="75">
        <f t="shared" si="75"/>
        <v>13137944</v>
      </c>
      <c r="DO54" s="75">
        <f t="shared" si="76"/>
        <v>0</v>
      </c>
      <c r="DP54" s="75">
        <f t="shared" si="77"/>
        <v>0</v>
      </c>
      <c r="DQ54" s="75"/>
      <c r="DR54" s="75">
        <f t="shared" si="78"/>
        <v>0</v>
      </c>
    </row>
    <row r="55" spans="1:123" ht="20.25" customHeight="1" x14ac:dyDescent="0.25">
      <c r="A55" s="226"/>
      <c r="B55" s="81"/>
      <c r="C55" s="82" t="s">
        <v>334</v>
      </c>
      <c r="D55" s="81" t="s">
        <v>333</v>
      </c>
      <c r="E55" s="97">
        <v>410</v>
      </c>
      <c r="F55" s="78" t="s">
        <v>214</v>
      </c>
      <c r="G55" s="229"/>
      <c r="H55" s="79">
        <f t="shared" si="47"/>
        <v>625958231</v>
      </c>
      <c r="I55" s="79">
        <f t="shared" si="48"/>
        <v>2178055449</v>
      </c>
      <c r="J55" s="78"/>
      <c r="K55" s="78"/>
      <c r="L55" s="78"/>
      <c r="M55" s="75">
        <f t="shared" si="49"/>
        <v>2804013680</v>
      </c>
      <c r="N55" s="4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>
        <f>700000000+2104013680</f>
        <v>2804013680</v>
      </c>
      <c r="AA55" s="75"/>
      <c r="AB55" s="75"/>
      <c r="AC55" s="75"/>
      <c r="AD55" s="75"/>
      <c r="AE55" s="75"/>
      <c r="AF55" s="75"/>
      <c r="AG55" s="75"/>
      <c r="AI55" s="25">
        <f t="shared" si="79"/>
        <v>0.63356168148223868</v>
      </c>
      <c r="AJ55" s="75">
        <f t="shared" si="50"/>
        <v>1776515622</v>
      </c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>
        <f>+'[1]AGOSTO 2015'!$V$1701</f>
        <v>1776515622</v>
      </c>
      <c r="AX55" s="75"/>
      <c r="AY55" s="75"/>
      <c r="AZ55" s="75"/>
      <c r="BA55" s="75"/>
      <c r="BB55" s="75"/>
      <c r="BC55" s="75"/>
      <c r="BD55" s="75"/>
      <c r="BE55" s="25">
        <f t="shared" si="41"/>
        <v>0.36643831851776132</v>
      </c>
      <c r="BF55" s="75">
        <f t="shared" si="51"/>
        <v>1027498058</v>
      </c>
      <c r="BG55" s="75">
        <f t="shared" si="52"/>
        <v>0</v>
      </c>
      <c r="BH55" s="75">
        <f t="shared" si="87"/>
        <v>0</v>
      </c>
      <c r="BI55" s="75">
        <f t="shared" si="82"/>
        <v>0</v>
      </c>
      <c r="BJ55" s="75">
        <f t="shared" si="83"/>
        <v>0</v>
      </c>
      <c r="BK55" s="75"/>
      <c r="BL55" s="75">
        <f t="shared" si="54"/>
        <v>0</v>
      </c>
      <c r="BM55" s="75">
        <f t="shared" si="55"/>
        <v>0</v>
      </c>
      <c r="BN55" s="75"/>
      <c r="BO55" s="75"/>
      <c r="BP55" s="75">
        <f>+W55-AU55</f>
        <v>0</v>
      </c>
      <c r="BQ55" s="75"/>
      <c r="BR55" s="75">
        <f t="shared" ref="BR55:BT58" si="89">+Y55-AV55</f>
        <v>0</v>
      </c>
      <c r="BS55" s="75">
        <f t="shared" si="89"/>
        <v>1027498058</v>
      </c>
      <c r="BT55" s="75">
        <f t="shared" si="89"/>
        <v>0</v>
      </c>
      <c r="BU55" s="75"/>
      <c r="BV55" s="75">
        <f t="shared" ref="BV55:BW58" si="90">+AC55-AZ55</f>
        <v>0</v>
      </c>
      <c r="BW55" s="75">
        <f t="shared" si="90"/>
        <v>0</v>
      </c>
      <c r="BX55" s="75"/>
      <c r="BY55" s="75"/>
      <c r="BZ55" s="75">
        <f t="shared" si="63"/>
        <v>0</v>
      </c>
      <c r="CA55" s="25">
        <f t="shared" si="80"/>
        <v>0.22323651110004569</v>
      </c>
      <c r="CB55" s="75">
        <f t="shared" si="64"/>
        <v>625958231</v>
      </c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>
        <f>+'[1]AGOSTO 2015'!$H$1699</f>
        <v>625958231</v>
      </c>
      <c r="CP55" s="75"/>
      <c r="CQ55" s="75"/>
      <c r="CR55" s="75"/>
      <c r="CS55" s="75"/>
      <c r="CT55" s="75"/>
      <c r="CU55" s="75"/>
      <c r="CV55" s="75"/>
      <c r="CW55" s="25">
        <f t="shared" si="81"/>
        <v>0.77676348889995428</v>
      </c>
      <c r="CX55" s="75">
        <f t="shared" si="65"/>
        <v>2178055449</v>
      </c>
      <c r="CY55" s="75"/>
      <c r="CZ55" s="75"/>
      <c r="DA55" s="75"/>
      <c r="DB55" s="75">
        <f t="shared" si="86"/>
        <v>0</v>
      </c>
      <c r="DC55" s="75"/>
      <c r="DD55" s="75">
        <f t="shared" si="67"/>
        <v>0</v>
      </c>
      <c r="DE55" s="75">
        <f t="shared" si="68"/>
        <v>0</v>
      </c>
      <c r="DF55" s="75"/>
      <c r="DG55" s="75">
        <f t="shared" si="69"/>
        <v>0</v>
      </c>
      <c r="DH55" s="75">
        <f t="shared" si="70"/>
        <v>0</v>
      </c>
      <c r="DI55" s="75"/>
      <c r="DJ55" s="75">
        <f t="shared" si="71"/>
        <v>0</v>
      </c>
      <c r="DK55" s="75">
        <f t="shared" si="72"/>
        <v>2178055449</v>
      </c>
      <c r="DL55" s="75">
        <f t="shared" si="73"/>
        <v>0</v>
      </c>
      <c r="DM55" s="75">
        <f t="shared" si="74"/>
        <v>0</v>
      </c>
      <c r="DN55" s="75">
        <f t="shared" si="75"/>
        <v>0</v>
      </c>
      <c r="DO55" s="75">
        <f t="shared" si="76"/>
        <v>0</v>
      </c>
      <c r="DP55" s="75">
        <f t="shared" si="77"/>
        <v>0</v>
      </c>
      <c r="DQ55" s="75"/>
      <c r="DR55" s="75">
        <f t="shared" si="78"/>
        <v>0</v>
      </c>
    </row>
    <row r="56" spans="1:123" ht="33.75" customHeight="1" x14ac:dyDescent="0.25">
      <c r="A56" s="226"/>
      <c r="B56" s="81" t="s">
        <v>332</v>
      </c>
      <c r="C56" s="82" t="s">
        <v>331</v>
      </c>
      <c r="D56" s="81" t="s">
        <v>330</v>
      </c>
      <c r="E56" s="97">
        <v>410</v>
      </c>
      <c r="F56" s="78" t="s">
        <v>214</v>
      </c>
      <c r="G56" s="227">
        <v>50000000</v>
      </c>
      <c r="H56" s="79">
        <f t="shared" si="47"/>
        <v>29661193</v>
      </c>
      <c r="I56" s="79">
        <f t="shared" si="48"/>
        <v>5338807</v>
      </c>
      <c r="J56" s="78"/>
      <c r="K56" s="78"/>
      <c r="L56" s="78"/>
      <c r="M56" s="75">
        <f t="shared" si="49"/>
        <v>35000000</v>
      </c>
      <c r="N56" s="45"/>
      <c r="O56" s="75"/>
      <c r="P56" s="75"/>
      <c r="Q56" s="75"/>
      <c r="R56" s="75"/>
      <c r="S56" s="75">
        <v>35000000</v>
      </c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I56" s="25">
        <f t="shared" si="79"/>
        <v>1</v>
      </c>
      <c r="AJ56" s="75">
        <f t="shared" si="50"/>
        <v>35000000</v>
      </c>
      <c r="AK56" s="75"/>
      <c r="AL56" s="75"/>
      <c r="AM56" s="75"/>
      <c r="AN56" s="75"/>
      <c r="AO56" s="75"/>
      <c r="AP56" s="75">
        <f>+'[8]FEBRERO 2015'!$N$658</f>
        <v>35000000</v>
      </c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25">
        <f t="shared" ref="BE56:BE87" si="91">1-AI56</f>
        <v>0</v>
      </c>
      <c r="BF56" s="75">
        <f t="shared" si="51"/>
        <v>0</v>
      </c>
      <c r="BG56" s="75">
        <f t="shared" si="52"/>
        <v>0</v>
      </c>
      <c r="BH56" s="75">
        <f t="shared" si="87"/>
        <v>0</v>
      </c>
      <c r="BI56" s="75">
        <f t="shared" si="82"/>
        <v>0</v>
      </c>
      <c r="BJ56" s="75">
        <f t="shared" si="83"/>
        <v>0</v>
      </c>
      <c r="BK56" s="75"/>
      <c r="BL56" s="75">
        <f t="shared" si="54"/>
        <v>0</v>
      </c>
      <c r="BM56" s="75">
        <f t="shared" si="55"/>
        <v>0</v>
      </c>
      <c r="BN56" s="75"/>
      <c r="BO56" s="75">
        <f>+V56-AS56</f>
        <v>0</v>
      </c>
      <c r="BP56" s="75">
        <f>+W56-AT56</f>
        <v>0</v>
      </c>
      <c r="BQ56" s="75">
        <f>+X56-AU56</f>
        <v>0</v>
      </c>
      <c r="BR56" s="75">
        <f t="shared" si="89"/>
        <v>0</v>
      </c>
      <c r="BS56" s="75">
        <f t="shared" si="89"/>
        <v>0</v>
      </c>
      <c r="BT56" s="75">
        <f t="shared" si="89"/>
        <v>0</v>
      </c>
      <c r="BU56" s="75">
        <f>+AB56-AY56</f>
        <v>0</v>
      </c>
      <c r="BV56" s="75">
        <f t="shared" si="90"/>
        <v>0</v>
      </c>
      <c r="BW56" s="75">
        <f t="shared" si="90"/>
        <v>0</v>
      </c>
      <c r="BX56" s="75">
        <f>+AE56-BB56</f>
        <v>0</v>
      </c>
      <c r="BY56" s="75">
        <f>+AF56-BC56</f>
        <v>0</v>
      </c>
      <c r="BZ56" s="75">
        <f t="shared" si="63"/>
        <v>0</v>
      </c>
      <c r="CA56" s="25">
        <f t="shared" si="80"/>
        <v>0.84746265714285718</v>
      </c>
      <c r="CB56" s="75">
        <f t="shared" si="64"/>
        <v>29661193</v>
      </c>
      <c r="CC56" s="75"/>
      <c r="CD56" s="75"/>
      <c r="CE56" s="75"/>
      <c r="CF56" s="75"/>
      <c r="CG56" s="75"/>
      <c r="CH56" s="75">
        <f>+'[6]JUNIO 2015'!$H$1373</f>
        <v>29661193</v>
      </c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25">
        <f t="shared" si="81"/>
        <v>0.15253734285714282</v>
      </c>
      <c r="CX56" s="75">
        <f t="shared" si="65"/>
        <v>5338807</v>
      </c>
      <c r="CY56" s="75"/>
      <c r="CZ56" s="75"/>
      <c r="DA56" s="75"/>
      <c r="DB56" s="75">
        <f t="shared" si="86"/>
        <v>0</v>
      </c>
      <c r="DC56" s="75"/>
      <c r="DD56" s="75">
        <f t="shared" si="67"/>
        <v>5338807</v>
      </c>
      <c r="DE56" s="75">
        <f t="shared" si="68"/>
        <v>0</v>
      </c>
      <c r="DF56" s="75"/>
      <c r="DG56" s="75">
        <f t="shared" si="69"/>
        <v>0</v>
      </c>
      <c r="DH56" s="75">
        <f t="shared" si="70"/>
        <v>0</v>
      </c>
      <c r="DI56" s="75"/>
      <c r="DJ56" s="75">
        <f t="shared" si="71"/>
        <v>0</v>
      </c>
      <c r="DK56" s="75">
        <f t="shared" si="72"/>
        <v>0</v>
      </c>
      <c r="DL56" s="75">
        <f t="shared" si="73"/>
        <v>0</v>
      </c>
      <c r="DM56" s="75">
        <f t="shared" si="74"/>
        <v>0</v>
      </c>
      <c r="DN56" s="75">
        <f t="shared" si="75"/>
        <v>0</v>
      </c>
      <c r="DO56" s="75">
        <f t="shared" si="76"/>
        <v>0</v>
      </c>
      <c r="DP56" s="75">
        <f t="shared" si="77"/>
        <v>0</v>
      </c>
      <c r="DQ56" s="75"/>
      <c r="DR56" s="75">
        <f t="shared" si="78"/>
        <v>0</v>
      </c>
    </row>
    <row r="57" spans="1:123" ht="30" customHeight="1" x14ac:dyDescent="0.25">
      <c r="A57" s="226"/>
      <c r="B57" s="81"/>
      <c r="C57" s="82" t="s">
        <v>329</v>
      </c>
      <c r="D57" s="81" t="s">
        <v>328</v>
      </c>
      <c r="E57" s="97">
        <v>410</v>
      </c>
      <c r="F57" s="78" t="s">
        <v>214</v>
      </c>
      <c r="G57" s="229"/>
      <c r="H57" s="79">
        <f t="shared" si="47"/>
        <v>7013333</v>
      </c>
      <c r="I57" s="79">
        <f t="shared" si="48"/>
        <v>7986667</v>
      </c>
      <c r="J57" s="78"/>
      <c r="K57" s="78"/>
      <c r="L57" s="78"/>
      <c r="M57" s="75">
        <f t="shared" si="49"/>
        <v>15000000</v>
      </c>
      <c r="N57" s="45"/>
      <c r="O57" s="75"/>
      <c r="P57" s="75"/>
      <c r="Q57" s="75"/>
      <c r="R57" s="75"/>
      <c r="S57" s="75">
        <v>15000000</v>
      </c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I57" s="25">
        <f t="shared" si="79"/>
        <v>1</v>
      </c>
      <c r="AJ57" s="75">
        <f t="shared" si="50"/>
        <v>15000000</v>
      </c>
      <c r="AK57" s="75"/>
      <c r="AL57" s="75"/>
      <c r="AM57" s="75"/>
      <c r="AN57" s="75"/>
      <c r="AO57" s="75"/>
      <c r="AP57" s="75">
        <f>+'[8]FEBRERO 2015'!$G$661</f>
        <v>15000000</v>
      </c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25">
        <f t="shared" si="91"/>
        <v>0</v>
      </c>
      <c r="BF57" s="75">
        <f t="shared" si="51"/>
        <v>0</v>
      </c>
      <c r="BG57" s="75">
        <f t="shared" si="52"/>
        <v>0</v>
      </c>
      <c r="BH57" s="75"/>
      <c r="BI57" s="75">
        <f t="shared" si="82"/>
        <v>0</v>
      </c>
      <c r="BJ57" s="75">
        <f t="shared" si="83"/>
        <v>0</v>
      </c>
      <c r="BK57" s="75"/>
      <c r="BL57" s="75">
        <f t="shared" si="54"/>
        <v>0</v>
      </c>
      <c r="BM57" s="75">
        <f t="shared" si="55"/>
        <v>0</v>
      </c>
      <c r="BN57" s="75"/>
      <c r="BO57" s="75"/>
      <c r="BP57" s="75">
        <f>+W57-AT57</f>
        <v>0</v>
      </c>
      <c r="BQ57" s="75"/>
      <c r="BR57" s="75">
        <f t="shared" si="89"/>
        <v>0</v>
      </c>
      <c r="BS57" s="75">
        <f t="shared" si="89"/>
        <v>0</v>
      </c>
      <c r="BT57" s="75">
        <f t="shared" si="89"/>
        <v>0</v>
      </c>
      <c r="BU57" s="75">
        <f>+AB57-AY57</f>
        <v>0</v>
      </c>
      <c r="BV57" s="75">
        <f t="shared" si="90"/>
        <v>0</v>
      </c>
      <c r="BW57" s="75">
        <f t="shared" si="90"/>
        <v>0</v>
      </c>
      <c r="BX57" s="75"/>
      <c r="BY57" s="75"/>
      <c r="BZ57" s="75">
        <f t="shared" si="63"/>
        <v>0</v>
      </c>
      <c r="CA57" s="25">
        <f t="shared" si="80"/>
        <v>0.46755553333333333</v>
      </c>
      <c r="CB57" s="75">
        <f t="shared" si="64"/>
        <v>7013333</v>
      </c>
      <c r="CC57" s="75"/>
      <c r="CD57" s="75"/>
      <c r="CE57" s="75"/>
      <c r="CF57" s="75"/>
      <c r="CG57" s="75"/>
      <c r="CH57" s="75">
        <f>+'[3]ABRIL 2015'!$H$1057</f>
        <v>7013333</v>
      </c>
      <c r="CI57" s="75"/>
      <c r="CJ57" s="75"/>
      <c r="CK57" s="75"/>
      <c r="CL57" s="75"/>
      <c r="CM57" s="75"/>
      <c r="CN57" s="75"/>
      <c r="CO57" s="75"/>
      <c r="CP57" s="75"/>
      <c r="CQ57" s="75"/>
      <c r="CR57" s="75"/>
      <c r="CS57" s="75"/>
      <c r="CT57" s="75"/>
      <c r="CU57" s="75"/>
      <c r="CV57" s="75"/>
      <c r="CW57" s="25">
        <f t="shared" si="81"/>
        <v>0.53244446666666667</v>
      </c>
      <c r="CX57" s="75">
        <f t="shared" si="65"/>
        <v>7986667</v>
      </c>
      <c r="CY57" s="75"/>
      <c r="CZ57" s="75"/>
      <c r="DA57" s="75"/>
      <c r="DB57" s="75">
        <f t="shared" si="86"/>
        <v>0</v>
      </c>
      <c r="DC57" s="75"/>
      <c r="DD57" s="75">
        <f t="shared" si="67"/>
        <v>7986667</v>
      </c>
      <c r="DE57" s="75">
        <f t="shared" si="68"/>
        <v>0</v>
      </c>
      <c r="DF57" s="75"/>
      <c r="DG57" s="75">
        <f t="shared" si="69"/>
        <v>0</v>
      </c>
      <c r="DH57" s="75">
        <f t="shared" si="70"/>
        <v>0</v>
      </c>
      <c r="DI57" s="75"/>
      <c r="DJ57" s="75">
        <f t="shared" si="71"/>
        <v>0</v>
      </c>
      <c r="DK57" s="75">
        <f t="shared" si="72"/>
        <v>0</v>
      </c>
      <c r="DL57" s="75">
        <f t="shared" si="73"/>
        <v>0</v>
      </c>
      <c r="DM57" s="75">
        <f t="shared" si="74"/>
        <v>0</v>
      </c>
      <c r="DN57" s="75">
        <f t="shared" si="75"/>
        <v>0</v>
      </c>
      <c r="DO57" s="75">
        <f t="shared" si="76"/>
        <v>0</v>
      </c>
      <c r="DP57" s="75">
        <f t="shared" si="77"/>
        <v>0</v>
      </c>
      <c r="DQ57" s="75"/>
      <c r="DR57" s="75">
        <f t="shared" si="78"/>
        <v>0</v>
      </c>
    </row>
    <row r="58" spans="1:123" ht="35.25" customHeight="1" x14ac:dyDescent="0.25">
      <c r="A58" s="226"/>
      <c r="B58" s="81" t="s">
        <v>327</v>
      </c>
      <c r="C58" s="82" t="s">
        <v>326</v>
      </c>
      <c r="D58" s="81" t="s">
        <v>325</v>
      </c>
      <c r="E58" s="97">
        <v>410</v>
      </c>
      <c r="F58" s="78" t="s">
        <v>324</v>
      </c>
      <c r="G58" s="227">
        <v>291000000</v>
      </c>
      <c r="H58" s="79">
        <f t="shared" si="47"/>
        <v>127851140</v>
      </c>
      <c r="I58" s="79">
        <f t="shared" si="48"/>
        <v>215412150</v>
      </c>
      <c r="J58" s="78"/>
      <c r="K58" s="78"/>
      <c r="L58" s="78"/>
      <c r="M58" s="75">
        <f t="shared" si="49"/>
        <v>343263290</v>
      </c>
      <c r="N58" s="45"/>
      <c r="O58" s="75"/>
      <c r="P58" s="75"/>
      <c r="Q58" s="75">
        <f>181000000-87736710+250000000</f>
        <v>343263290</v>
      </c>
      <c r="R58" s="75"/>
      <c r="S58" s="75">
        <f>100000000-100000000</f>
        <v>0</v>
      </c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>
        <f>10455882-10455882</f>
        <v>0</v>
      </c>
      <c r="AI58" s="25">
        <f t="shared" si="79"/>
        <v>1</v>
      </c>
      <c r="AJ58" s="75">
        <f t="shared" si="50"/>
        <v>343263290</v>
      </c>
      <c r="AK58" s="75"/>
      <c r="AL58" s="75"/>
      <c r="AM58" s="75"/>
      <c r="AN58" s="75">
        <f>+'[6]JUNIO 2015'!$M$1391</f>
        <v>343263290</v>
      </c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25">
        <f t="shared" si="91"/>
        <v>0</v>
      </c>
      <c r="BF58" s="75">
        <f t="shared" si="51"/>
        <v>0</v>
      </c>
      <c r="BG58" s="75">
        <f t="shared" si="52"/>
        <v>0</v>
      </c>
      <c r="BH58" s="75"/>
      <c r="BI58" s="75">
        <f t="shared" si="82"/>
        <v>0</v>
      </c>
      <c r="BJ58" s="75">
        <f t="shared" si="83"/>
        <v>0</v>
      </c>
      <c r="BK58" s="75"/>
      <c r="BL58" s="75">
        <f t="shared" si="54"/>
        <v>0</v>
      </c>
      <c r="BM58" s="75">
        <f t="shared" si="55"/>
        <v>0</v>
      </c>
      <c r="BN58" s="75"/>
      <c r="BO58" s="75"/>
      <c r="BP58" s="75">
        <f>+W58-AT58</f>
        <v>0</v>
      </c>
      <c r="BQ58" s="75"/>
      <c r="BR58" s="75">
        <f t="shared" si="89"/>
        <v>0</v>
      </c>
      <c r="BS58" s="75">
        <f t="shared" si="89"/>
        <v>0</v>
      </c>
      <c r="BT58" s="75">
        <f t="shared" si="89"/>
        <v>0</v>
      </c>
      <c r="BU58" s="75">
        <f>+AB58-AY58</f>
        <v>0</v>
      </c>
      <c r="BV58" s="75">
        <f t="shared" si="90"/>
        <v>0</v>
      </c>
      <c r="BW58" s="75">
        <f t="shared" si="90"/>
        <v>0</v>
      </c>
      <c r="BX58" s="75"/>
      <c r="BY58" s="75"/>
      <c r="BZ58" s="75">
        <f t="shared" si="63"/>
        <v>0</v>
      </c>
      <c r="CA58" s="25">
        <f t="shared" si="80"/>
        <v>0.37245794620217038</v>
      </c>
      <c r="CB58" s="75">
        <f t="shared" si="64"/>
        <v>127851140</v>
      </c>
      <c r="CC58" s="75"/>
      <c r="CD58" s="75"/>
      <c r="CE58" s="75"/>
      <c r="CF58" s="75">
        <f>+'[1]AGOSTO 2015'!$H$1817</f>
        <v>127851140</v>
      </c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25">
        <f t="shared" si="81"/>
        <v>0.62754205379782957</v>
      </c>
      <c r="CX58" s="75">
        <f t="shared" si="65"/>
        <v>215412150</v>
      </c>
      <c r="CY58" s="75"/>
      <c r="CZ58" s="75"/>
      <c r="DA58" s="75"/>
      <c r="DB58" s="75">
        <f t="shared" si="86"/>
        <v>215412150</v>
      </c>
      <c r="DC58" s="75"/>
      <c r="DD58" s="75">
        <f t="shared" si="67"/>
        <v>0</v>
      </c>
      <c r="DE58" s="75">
        <f t="shared" si="68"/>
        <v>0</v>
      </c>
      <c r="DF58" s="75"/>
      <c r="DG58" s="75">
        <f t="shared" si="69"/>
        <v>0</v>
      </c>
      <c r="DH58" s="75">
        <f t="shared" si="70"/>
        <v>0</v>
      </c>
      <c r="DI58" s="75"/>
      <c r="DJ58" s="75">
        <f t="shared" si="71"/>
        <v>0</v>
      </c>
      <c r="DK58" s="75">
        <f t="shared" si="72"/>
        <v>0</v>
      </c>
      <c r="DL58" s="75">
        <f t="shared" si="73"/>
        <v>0</v>
      </c>
      <c r="DM58" s="75">
        <f t="shared" si="74"/>
        <v>0</v>
      </c>
      <c r="DN58" s="75">
        <f t="shared" si="75"/>
        <v>0</v>
      </c>
      <c r="DO58" s="75">
        <f t="shared" si="76"/>
        <v>0</v>
      </c>
      <c r="DP58" s="75">
        <f t="shared" si="77"/>
        <v>0</v>
      </c>
      <c r="DQ58" s="75"/>
      <c r="DR58" s="75">
        <f t="shared" si="78"/>
        <v>0</v>
      </c>
    </row>
    <row r="59" spans="1:123" ht="33" customHeight="1" x14ac:dyDescent="0.25">
      <c r="A59" s="226"/>
      <c r="B59" s="81"/>
      <c r="C59" s="82" t="s">
        <v>323</v>
      </c>
      <c r="D59" s="81" t="s">
        <v>322</v>
      </c>
      <c r="E59" s="97">
        <v>410</v>
      </c>
      <c r="F59" s="78" t="s">
        <v>74</v>
      </c>
      <c r="G59" s="229"/>
      <c r="H59" s="79">
        <f t="shared" si="47"/>
        <v>0</v>
      </c>
      <c r="I59" s="79">
        <f t="shared" si="48"/>
        <v>2000000</v>
      </c>
      <c r="J59" s="78"/>
      <c r="K59" s="78"/>
      <c r="L59" s="78"/>
      <c r="M59" s="75">
        <f t="shared" si="49"/>
        <v>2000000</v>
      </c>
      <c r="N59" s="45"/>
      <c r="O59" s="115"/>
      <c r="P59" s="115"/>
      <c r="Q59" s="75"/>
      <c r="R59" s="75"/>
      <c r="S59" s="11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>
        <f>2000000</f>
        <v>2000000</v>
      </c>
      <c r="AI59" s="25">
        <f t="shared" si="79"/>
        <v>1</v>
      </c>
      <c r="AJ59" s="75">
        <f t="shared" si="50"/>
        <v>2000000</v>
      </c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>
        <f>+'[2]JULIO 2015'!$G$1634</f>
        <v>2000000</v>
      </c>
      <c r="BE59" s="25">
        <f t="shared" si="91"/>
        <v>0</v>
      </c>
      <c r="BF59" s="75">
        <f t="shared" si="51"/>
        <v>0</v>
      </c>
      <c r="BG59" s="75"/>
      <c r="BH59" s="75"/>
      <c r="BI59" s="75">
        <f t="shared" ref="BI59:BI66" si="92">P59-AM59</f>
        <v>0</v>
      </c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>
        <f t="shared" si="63"/>
        <v>0</v>
      </c>
      <c r="CA59" s="25">
        <f t="shared" si="80"/>
        <v>0</v>
      </c>
      <c r="CB59" s="75">
        <f t="shared" si="64"/>
        <v>0</v>
      </c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25">
        <f t="shared" si="81"/>
        <v>1</v>
      </c>
      <c r="CX59" s="75">
        <f t="shared" si="65"/>
        <v>2000000</v>
      </c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>
        <f t="shared" si="78"/>
        <v>2000000</v>
      </c>
    </row>
    <row r="60" spans="1:123" ht="36" customHeight="1" x14ac:dyDescent="0.25">
      <c r="A60" s="226"/>
      <c r="B60" s="81" t="s">
        <v>321</v>
      </c>
      <c r="C60" s="82" t="s">
        <v>320</v>
      </c>
      <c r="D60" s="81" t="s">
        <v>319</v>
      </c>
      <c r="E60" s="97">
        <v>410</v>
      </c>
      <c r="F60" s="78" t="s">
        <v>214</v>
      </c>
      <c r="G60" s="78">
        <v>300000000</v>
      </c>
      <c r="H60" s="79">
        <f t="shared" si="47"/>
        <v>201318782</v>
      </c>
      <c r="I60" s="79">
        <f t="shared" si="48"/>
        <v>21499955</v>
      </c>
      <c r="J60" s="78"/>
      <c r="K60" s="78"/>
      <c r="L60" s="78"/>
      <c r="M60" s="75">
        <f t="shared" si="49"/>
        <v>222818737</v>
      </c>
      <c r="N60" s="45"/>
      <c r="O60" s="115">
        <f>55819123-55819123</f>
        <v>0</v>
      </c>
      <c r="P60" s="115"/>
      <c r="Q60" s="75">
        <f>150000000-21362140</f>
        <v>128637860</v>
      </c>
      <c r="R60" s="75"/>
      <c r="S60" s="115">
        <f>150000000-55819123+20000000-20000000</f>
        <v>94180877</v>
      </c>
      <c r="T60" s="45"/>
      <c r="U60" s="45"/>
      <c r="V60" s="4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I60" s="25">
        <f t="shared" si="79"/>
        <v>1</v>
      </c>
      <c r="AJ60" s="75">
        <f t="shared" si="50"/>
        <v>222818737</v>
      </c>
      <c r="AK60" s="75"/>
      <c r="AL60" s="75"/>
      <c r="AM60" s="75"/>
      <c r="AN60" s="75">
        <f>+'[6]JUNIO 2015'!$M$1412</f>
        <v>128637860</v>
      </c>
      <c r="AO60" s="75"/>
      <c r="AP60" s="75">
        <f>+'[6]JUNIO 2015'!$O$1412</f>
        <v>94180877</v>
      </c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25">
        <f t="shared" si="91"/>
        <v>0</v>
      </c>
      <c r="BF60" s="75">
        <f t="shared" si="51"/>
        <v>0</v>
      </c>
      <c r="BG60" s="75">
        <f t="shared" ref="BG60:BG66" si="93">+N60-AK60</f>
        <v>0</v>
      </c>
      <c r="BH60" s="75">
        <f>O60-AL60</f>
        <v>0</v>
      </c>
      <c r="BI60" s="75">
        <f t="shared" si="92"/>
        <v>0</v>
      </c>
      <c r="BJ60" s="75">
        <f t="shared" ref="BJ60:BJ66" si="94">Q60-AN60</f>
        <v>0</v>
      </c>
      <c r="BK60" s="75"/>
      <c r="BL60" s="75">
        <f t="shared" ref="BL60:BM66" si="95">+S60-AP60</f>
        <v>0</v>
      </c>
      <c r="BM60" s="75">
        <f t="shared" si="95"/>
        <v>0</v>
      </c>
      <c r="BN60" s="75"/>
      <c r="BO60" s="75"/>
      <c r="BP60" s="75">
        <f t="shared" ref="BP60:BP66" si="96">+W60-AT60</f>
        <v>0</v>
      </c>
      <c r="BQ60" s="75"/>
      <c r="BR60" s="75">
        <f t="shared" ref="BR60:BW66" si="97">+Y60-AV60</f>
        <v>0</v>
      </c>
      <c r="BS60" s="75">
        <f t="shared" si="97"/>
        <v>0</v>
      </c>
      <c r="BT60" s="75">
        <f t="shared" si="97"/>
        <v>0</v>
      </c>
      <c r="BU60" s="75">
        <f t="shared" si="97"/>
        <v>0</v>
      </c>
      <c r="BV60" s="75">
        <f t="shared" si="97"/>
        <v>0</v>
      </c>
      <c r="BW60" s="75">
        <f t="shared" si="97"/>
        <v>0</v>
      </c>
      <c r="BX60" s="75"/>
      <c r="BY60" s="75"/>
      <c r="BZ60" s="75">
        <f t="shared" si="63"/>
        <v>0</v>
      </c>
      <c r="CA60" s="25">
        <f t="shared" si="80"/>
        <v>0.90350921430813069</v>
      </c>
      <c r="CB60" s="75">
        <f t="shared" si="64"/>
        <v>201318782</v>
      </c>
      <c r="CC60" s="75"/>
      <c r="CD60" s="75"/>
      <c r="CE60" s="75"/>
      <c r="CF60" s="75">
        <f>+'[1]AGOSTO 2015'!$H$1852</f>
        <v>128637860</v>
      </c>
      <c r="CG60" s="75"/>
      <c r="CH60" s="75">
        <f>+'[1]AGOSTO 2015'!$H$1842+'[1]AGOSTO 2015'!$H$1859</f>
        <v>72680922</v>
      </c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25">
        <f t="shared" si="81"/>
        <v>9.6490785691869307E-2</v>
      </c>
      <c r="CX60" s="75">
        <f t="shared" si="65"/>
        <v>21499955</v>
      </c>
      <c r="CY60" s="75"/>
      <c r="CZ60" s="75">
        <f>O60-CD60</f>
        <v>0</v>
      </c>
      <c r="DA60" s="75">
        <f>P60-CE60</f>
        <v>0</v>
      </c>
      <c r="DB60" s="75">
        <f>Q60-CF60</f>
        <v>0</v>
      </c>
      <c r="DC60" s="75"/>
      <c r="DD60" s="75">
        <f t="shared" ref="DD60:DE66" si="98">S60-CH60</f>
        <v>21499955</v>
      </c>
      <c r="DE60" s="75">
        <f t="shared" si="98"/>
        <v>0</v>
      </c>
      <c r="DF60" s="75"/>
      <c r="DG60" s="75">
        <f t="shared" ref="DG60:DH66" si="99">+V60-CK60</f>
        <v>0</v>
      </c>
      <c r="DH60" s="75">
        <f t="shared" si="99"/>
        <v>0</v>
      </c>
      <c r="DI60" s="75"/>
      <c r="DJ60" s="75">
        <f t="shared" ref="DJ60:DL66" si="100">Y60-CN60</f>
        <v>0</v>
      </c>
      <c r="DK60" s="75">
        <f t="shared" si="100"/>
        <v>0</v>
      </c>
      <c r="DL60" s="75">
        <f t="shared" si="100"/>
        <v>0</v>
      </c>
      <c r="DM60" s="75">
        <f t="shared" ref="DM60:DP66" si="101">+AB60-CQ60</f>
        <v>0</v>
      </c>
      <c r="DN60" s="75">
        <f t="shared" si="101"/>
        <v>0</v>
      </c>
      <c r="DO60" s="75">
        <f t="shared" si="101"/>
        <v>0</v>
      </c>
      <c r="DP60" s="75">
        <f t="shared" si="101"/>
        <v>0</v>
      </c>
      <c r="DQ60" s="75"/>
      <c r="DR60" s="75">
        <f t="shared" si="78"/>
        <v>0</v>
      </c>
      <c r="DS60" s="68"/>
    </row>
    <row r="61" spans="1:123" ht="27.75" customHeight="1" x14ac:dyDescent="0.25">
      <c r="A61" s="226"/>
      <c r="B61" s="81" t="s">
        <v>318</v>
      </c>
      <c r="C61" s="82" t="s">
        <v>317</v>
      </c>
      <c r="D61" s="81" t="s">
        <v>316</v>
      </c>
      <c r="E61" s="97">
        <v>410</v>
      </c>
      <c r="F61" s="78" t="s">
        <v>315</v>
      </c>
      <c r="G61" s="227">
        <v>225000000</v>
      </c>
      <c r="H61" s="79">
        <f t="shared" si="47"/>
        <v>0</v>
      </c>
      <c r="I61" s="79">
        <f t="shared" si="48"/>
        <v>5000000</v>
      </c>
      <c r="J61" s="78"/>
      <c r="K61" s="78"/>
      <c r="L61" s="78"/>
      <c r="M61" s="75">
        <f t="shared" si="49"/>
        <v>5000000</v>
      </c>
      <c r="N61" s="45"/>
      <c r="O61" s="45"/>
      <c r="P61" s="45"/>
      <c r="Q61" s="75"/>
      <c r="R61" s="75"/>
      <c r="S61" s="45"/>
      <c r="T61" s="45"/>
      <c r="U61" s="45"/>
      <c r="V61" s="4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>
        <f>5000000</f>
        <v>5000000</v>
      </c>
      <c r="AI61" s="25">
        <f t="shared" si="79"/>
        <v>1</v>
      </c>
      <c r="AJ61" s="75">
        <f t="shared" si="50"/>
        <v>5000000</v>
      </c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>
        <f>+'[8]FEBRERO 2015'!$AC$685</f>
        <v>5000000</v>
      </c>
      <c r="BE61" s="25">
        <f t="shared" si="91"/>
        <v>0</v>
      </c>
      <c r="BF61" s="75">
        <f t="shared" si="51"/>
        <v>0</v>
      </c>
      <c r="BG61" s="75">
        <f t="shared" si="93"/>
        <v>0</v>
      </c>
      <c r="BH61" s="75"/>
      <c r="BI61" s="75">
        <f t="shared" si="92"/>
        <v>0</v>
      </c>
      <c r="BJ61" s="75">
        <f t="shared" si="94"/>
        <v>0</v>
      </c>
      <c r="BK61" s="75"/>
      <c r="BL61" s="75">
        <f t="shared" si="95"/>
        <v>0</v>
      </c>
      <c r="BM61" s="75">
        <f t="shared" si="95"/>
        <v>0</v>
      </c>
      <c r="BN61" s="75"/>
      <c r="BO61" s="75"/>
      <c r="BP61" s="75">
        <f t="shared" si="96"/>
        <v>0</v>
      </c>
      <c r="BQ61" s="75"/>
      <c r="BR61" s="75">
        <f t="shared" si="97"/>
        <v>0</v>
      </c>
      <c r="BS61" s="75">
        <f t="shared" si="97"/>
        <v>0</v>
      </c>
      <c r="BT61" s="75">
        <f t="shared" si="97"/>
        <v>0</v>
      </c>
      <c r="BU61" s="75">
        <f t="shared" si="97"/>
        <v>0</v>
      </c>
      <c r="BV61" s="75">
        <f t="shared" si="97"/>
        <v>0</v>
      </c>
      <c r="BW61" s="75">
        <f t="shared" si="97"/>
        <v>0</v>
      </c>
      <c r="BX61" s="75"/>
      <c r="BY61" s="75"/>
      <c r="BZ61" s="75">
        <f t="shared" si="63"/>
        <v>0</v>
      </c>
      <c r="CA61" s="25">
        <f t="shared" si="80"/>
        <v>0</v>
      </c>
      <c r="CB61" s="75">
        <f t="shared" si="64"/>
        <v>0</v>
      </c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25">
        <f t="shared" si="81"/>
        <v>1</v>
      </c>
      <c r="CX61" s="75">
        <f t="shared" si="65"/>
        <v>5000000</v>
      </c>
      <c r="CY61" s="75"/>
      <c r="CZ61" s="75"/>
      <c r="DA61" s="75"/>
      <c r="DB61" s="75">
        <f t="shared" ref="DB61:DB66" si="102">Q61-CF61</f>
        <v>0</v>
      </c>
      <c r="DC61" s="75"/>
      <c r="DD61" s="75">
        <f t="shared" si="98"/>
        <v>0</v>
      </c>
      <c r="DE61" s="75">
        <f t="shared" si="98"/>
        <v>0</v>
      </c>
      <c r="DF61" s="75"/>
      <c r="DG61" s="75">
        <f t="shared" si="99"/>
        <v>0</v>
      </c>
      <c r="DH61" s="75">
        <f t="shared" si="99"/>
        <v>0</v>
      </c>
      <c r="DI61" s="75"/>
      <c r="DJ61" s="75">
        <f t="shared" si="100"/>
        <v>0</v>
      </c>
      <c r="DK61" s="75">
        <f t="shared" si="100"/>
        <v>0</v>
      </c>
      <c r="DL61" s="75">
        <f t="shared" si="100"/>
        <v>0</v>
      </c>
      <c r="DM61" s="75">
        <f t="shared" si="101"/>
        <v>0</v>
      </c>
      <c r="DN61" s="75">
        <f t="shared" si="101"/>
        <v>0</v>
      </c>
      <c r="DO61" s="75">
        <f t="shared" si="101"/>
        <v>0</v>
      </c>
      <c r="DP61" s="75">
        <f t="shared" si="101"/>
        <v>0</v>
      </c>
      <c r="DQ61" s="75"/>
      <c r="DR61" s="75">
        <f t="shared" si="78"/>
        <v>5000000</v>
      </c>
    </row>
    <row r="62" spans="1:123" ht="50.25" customHeight="1" x14ac:dyDescent="0.25">
      <c r="A62" s="226"/>
      <c r="B62" s="81"/>
      <c r="C62" s="82" t="s">
        <v>314</v>
      </c>
      <c r="D62" s="81" t="s">
        <v>313</v>
      </c>
      <c r="E62" s="97">
        <v>410</v>
      </c>
      <c r="F62" s="78" t="s">
        <v>270</v>
      </c>
      <c r="G62" s="228"/>
      <c r="H62" s="79">
        <f t="shared" si="47"/>
        <v>45655090</v>
      </c>
      <c r="I62" s="79">
        <f t="shared" si="48"/>
        <v>44344910</v>
      </c>
      <c r="J62" s="78"/>
      <c r="K62" s="78"/>
      <c r="L62" s="78"/>
      <c r="M62" s="75">
        <f t="shared" si="49"/>
        <v>90000000</v>
      </c>
      <c r="N62" s="45"/>
      <c r="O62" s="45"/>
      <c r="P62" s="45"/>
      <c r="Q62" s="75"/>
      <c r="R62" s="75"/>
      <c r="S62" s="45"/>
      <c r="T62" s="45"/>
      <c r="U62" s="45"/>
      <c r="V62" s="45"/>
      <c r="W62" s="75"/>
      <c r="X62" s="75"/>
      <c r="Y62" s="75"/>
      <c r="Z62" s="75"/>
      <c r="AA62" s="75"/>
      <c r="AB62" s="75">
        <v>15000000</v>
      </c>
      <c r="AC62" s="75">
        <f>105000000-30000000</f>
        <v>75000000</v>
      </c>
      <c r="AD62" s="75"/>
      <c r="AE62" s="75"/>
      <c r="AF62" s="75"/>
      <c r="AG62" s="75"/>
      <c r="AI62" s="25">
        <f t="shared" si="79"/>
        <v>1</v>
      </c>
      <c r="AJ62" s="75">
        <f t="shared" si="50"/>
        <v>90000000</v>
      </c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>
        <f>+'[5]FEBRERO 2015'!$W$740</f>
        <v>15000000</v>
      </c>
      <c r="AZ62" s="75">
        <v>75000000</v>
      </c>
      <c r="BA62" s="75"/>
      <c r="BB62" s="75"/>
      <c r="BC62" s="75"/>
      <c r="BD62" s="75"/>
      <c r="BE62" s="25">
        <f t="shared" si="91"/>
        <v>0</v>
      </c>
      <c r="BF62" s="75">
        <f t="shared" si="51"/>
        <v>0</v>
      </c>
      <c r="BG62" s="75">
        <f t="shared" si="93"/>
        <v>0</v>
      </c>
      <c r="BH62" s="75"/>
      <c r="BI62" s="75">
        <f t="shared" si="92"/>
        <v>0</v>
      </c>
      <c r="BJ62" s="75">
        <f t="shared" si="94"/>
        <v>0</v>
      </c>
      <c r="BK62" s="75"/>
      <c r="BL62" s="75">
        <f t="shared" si="95"/>
        <v>0</v>
      </c>
      <c r="BM62" s="75">
        <f t="shared" si="95"/>
        <v>0</v>
      </c>
      <c r="BN62" s="75"/>
      <c r="BO62" s="75"/>
      <c r="BP62" s="75">
        <f t="shared" si="96"/>
        <v>0</v>
      </c>
      <c r="BQ62" s="75"/>
      <c r="BR62" s="75">
        <f t="shared" si="97"/>
        <v>0</v>
      </c>
      <c r="BS62" s="75">
        <f t="shared" si="97"/>
        <v>0</v>
      </c>
      <c r="BT62" s="75">
        <f t="shared" si="97"/>
        <v>0</v>
      </c>
      <c r="BU62" s="75">
        <f t="shared" si="97"/>
        <v>0</v>
      </c>
      <c r="BV62" s="75">
        <f t="shared" si="97"/>
        <v>0</v>
      </c>
      <c r="BW62" s="75">
        <f t="shared" si="97"/>
        <v>0</v>
      </c>
      <c r="BX62" s="75"/>
      <c r="BY62" s="75"/>
      <c r="BZ62" s="75">
        <f t="shared" si="63"/>
        <v>0</v>
      </c>
      <c r="CA62" s="25">
        <f t="shared" si="80"/>
        <v>0.50727877777777775</v>
      </c>
      <c r="CB62" s="75">
        <f t="shared" si="64"/>
        <v>45655090</v>
      </c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>
        <f>+'[3]ABRIL 2015'!$H$1101</f>
        <v>15000000</v>
      </c>
      <c r="CR62" s="75">
        <f>+'[1]AGOSTO 2015'!$H$1873</f>
        <v>30655090</v>
      </c>
      <c r="CS62" s="75"/>
      <c r="CT62" s="75"/>
      <c r="CU62" s="75"/>
      <c r="CV62" s="75"/>
      <c r="CW62" s="25">
        <f t="shared" si="81"/>
        <v>0.49272122222222225</v>
      </c>
      <c r="CX62" s="75">
        <f t="shared" si="65"/>
        <v>44344910</v>
      </c>
      <c r="CY62" s="75"/>
      <c r="CZ62" s="75"/>
      <c r="DA62" s="75"/>
      <c r="DB62" s="75">
        <f t="shared" si="102"/>
        <v>0</v>
      </c>
      <c r="DC62" s="75"/>
      <c r="DD62" s="75">
        <f t="shared" si="98"/>
        <v>0</v>
      </c>
      <c r="DE62" s="75">
        <f t="shared" si="98"/>
        <v>0</v>
      </c>
      <c r="DF62" s="75"/>
      <c r="DG62" s="75">
        <f t="shared" si="99"/>
        <v>0</v>
      </c>
      <c r="DH62" s="75">
        <f t="shared" si="99"/>
        <v>0</v>
      </c>
      <c r="DI62" s="75"/>
      <c r="DJ62" s="75">
        <f t="shared" si="100"/>
        <v>0</v>
      </c>
      <c r="DK62" s="75">
        <f t="shared" si="100"/>
        <v>0</v>
      </c>
      <c r="DL62" s="75">
        <f t="shared" si="100"/>
        <v>0</v>
      </c>
      <c r="DM62" s="75">
        <f t="shared" si="101"/>
        <v>0</v>
      </c>
      <c r="DN62" s="75">
        <f t="shared" si="101"/>
        <v>44344910</v>
      </c>
      <c r="DO62" s="75">
        <f t="shared" si="101"/>
        <v>0</v>
      </c>
      <c r="DP62" s="75">
        <f t="shared" si="101"/>
        <v>0</v>
      </c>
      <c r="DQ62" s="75"/>
      <c r="DR62" s="75">
        <f t="shared" si="78"/>
        <v>0</v>
      </c>
    </row>
    <row r="63" spans="1:123" ht="39" customHeight="1" x14ac:dyDescent="0.25">
      <c r="A63" s="226"/>
      <c r="B63" s="81"/>
      <c r="C63" s="82" t="s">
        <v>312</v>
      </c>
      <c r="D63" s="81" t="s">
        <v>311</v>
      </c>
      <c r="E63" s="97">
        <v>410</v>
      </c>
      <c r="F63" s="78" t="s">
        <v>270</v>
      </c>
      <c r="G63" s="228"/>
      <c r="H63" s="79">
        <f t="shared" si="47"/>
        <v>3078500</v>
      </c>
      <c r="I63" s="79">
        <f t="shared" si="48"/>
        <v>1921500</v>
      </c>
      <c r="J63" s="78"/>
      <c r="K63" s="78"/>
      <c r="L63" s="78"/>
      <c r="M63" s="75">
        <f t="shared" si="49"/>
        <v>5000000</v>
      </c>
      <c r="N63" s="45"/>
      <c r="O63" s="45"/>
      <c r="P63" s="45"/>
      <c r="Q63" s="75"/>
      <c r="R63" s="75"/>
      <c r="S63" s="45"/>
      <c r="T63" s="45"/>
      <c r="U63" s="45"/>
      <c r="V63" s="45"/>
      <c r="W63" s="75"/>
      <c r="X63" s="75"/>
      <c r="Y63" s="75"/>
      <c r="Z63" s="75"/>
      <c r="AA63" s="75"/>
      <c r="AB63" s="75"/>
      <c r="AC63" s="75">
        <v>5000000</v>
      </c>
      <c r="AD63" s="75"/>
      <c r="AE63" s="75"/>
      <c r="AF63" s="75"/>
      <c r="AG63" s="75"/>
      <c r="AI63" s="25">
        <f t="shared" si="79"/>
        <v>1</v>
      </c>
      <c r="AJ63" s="75">
        <f t="shared" si="50"/>
        <v>5000000</v>
      </c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>
        <f>+'[8]FEBRERO 2015'!$X$695</f>
        <v>5000000</v>
      </c>
      <c r="BA63" s="75"/>
      <c r="BB63" s="75"/>
      <c r="BC63" s="75"/>
      <c r="BD63" s="75"/>
      <c r="BE63" s="25">
        <f t="shared" si="91"/>
        <v>0</v>
      </c>
      <c r="BF63" s="75">
        <f t="shared" si="51"/>
        <v>0</v>
      </c>
      <c r="BG63" s="75">
        <f t="shared" si="93"/>
        <v>0</v>
      </c>
      <c r="BH63" s="75"/>
      <c r="BI63" s="75">
        <f t="shared" si="92"/>
        <v>0</v>
      </c>
      <c r="BJ63" s="75">
        <f t="shared" si="94"/>
        <v>0</v>
      </c>
      <c r="BK63" s="75"/>
      <c r="BL63" s="75">
        <f t="shared" si="95"/>
        <v>0</v>
      </c>
      <c r="BM63" s="75">
        <f t="shared" si="95"/>
        <v>0</v>
      </c>
      <c r="BN63" s="75"/>
      <c r="BO63" s="75"/>
      <c r="BP63" s="75">
        <f t="shared" si="96"/>
        <v>0</v>
      </c>
      <c r="BQ63" s="75"/>
      <c r="BR63" s="75">
        <f t="shared" si="97"/>
        <v>0</v>
      </c>
      <c r="BS63" s="75">
        <f t="shared" si="97"/>
        <v>0</v>
      </c>
      <c r="BT63" s="75">
        <f t="shared" si="97"/>
        <v>0</v>
      </c>
      <c r="BU63" s="75">
        <f t="shared" si="97"/>
        <v>0</v>
      </c>
      <c r="BV63" s="75">
        <f t="shared" si="97"/>
        <v>0</v>
      </c>
      <c r="BW63" s="75">
        <f t="shared" si="97"/>
        <v>0</v>
      </c>
      <c r="BX63" s="75"/>
      <c r="BY63" s="75"/>
      <c r="BZ63" s="75">
        <f t="shared" si="63"/>
        <v>0</v>
      </c>
      <c r="CA63" s="25">
        <f t="shared" si="80"/>
        <v>0.61570000000000003</v>
      </c>
      <c r="CB63" s="75">
        <f t="shared" si="64"/>
        <v>3078500</v>
      </c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>
        <f>+'[3]ABRIL 2015'!$H$1104</f>
        <v>3078500</v>
      </c>
      <c r="CS63" s="75"/>
      <c r="CT63" s="75"/>
      <c r="CU63" s="75"/>
      <c r="CV63" s="75"/>
      <c r="CW63" s="25">
        <f t="shared" si="81"/>
        <v>0.38429999999999997</v>
      </c>
      <c r="CX63" s="75">
        <f t="shared" si="65"/>
        <v>1921500</v>
      </c>
      <c r="CY63" s="75"/>
      <c r="CZ63" s="75"/>
      <c r="DA63" s="75"/>
      <c r="DB63" s="75">
        <f t="shared" si="102"/>
        <v>0</v>
      </c>
      <c r="DC63" s="75"/>
      <c r="DD63" s="75">
        <f t="shared" si="98"/>
        <v>0</v>
      </c>
      <c r="DE63" s="75">
        <f t="shared" si="98"/>
        <v>0</v>
      </c>
      <c r="DF63" s="75"/>
      <c r="DG63" s="75">
        <f t="shared" si="99"/>
        <v>0</v>
      </c>
      <c r="DH63" s="75">
        <f t="shared" si="99"/>
        <v>0</v>
      </c>
      <c r="DI63" s="75"/>
      <c r="DJ63" s="75">
        <f t="shared" si="100"/>
        <v>0</v>
      </c>
      <c r="DK63" s="75">
        <f t="shared" si="100"/>
        <v>0</v>
      </c>
      <c r="DL63" s="75">
        <f t="shared" si="100"/>
        <v>0</v>
      </c>
      <c r="DM63" s="75">
        <f t="shared" si="101"/>
        <v>0</v>
      </c>
      <c r="DN63" s="75">
        <f t="shared" si="101"/>
        <v>1921500</v>
      </c>
      <c r="DO63" s="75">
        <f t="shared" si="101"/>
        <v>0</v>
      </c>
      <c r="DP63" s="75">
        <f t="shared" si="101"/>
        <v>0</v>
      </c>
      <c r="DQ63" s="75"/>
      <c r="DR63" s="75">
        <f t="shared" si="78"/>
        <v>0</v>
      </c>
    </row>
    <row r="64" spans="1:123" ht="51" customHeight="1" x14ac:dyDescent="0.25">
      <c r="A64" s="226"/>
      <c r="B64" s="81"/>
      <c r="C64" s="82" t="s">
        <v>310</v>
      </c>
      <c r="D64" s="81" t="s">
        <v>309</v>
      </c>
      <c r="E64" s="97">
        <v>410</v>
      </c>
      <c r="F64" s="78" t="s">
        <v>308</v>
      </c>
      <c r="G64" s="228"/>
      <c r="H64" s="79">
        <f t="shared" si="47"/>
        <v>17499959</v>
      </c>
      <c r="I64" s="79">
        <f t="shared" si="48"/>
        <v>46500041</v>
      </c>
      <c r="J64" s="78"/>
      <c r="K64" s="78"/>
      <c r="L64" s="78"/>
      <c r="M64" s="75">
        <f t="shared" si="49"/>
        <v>64000000</v>
      </c>
      <c r="N64" s="45"/>
      <c r="O64" s="45"/>
      <c r="P64" s="45"/>
      <c r="Q64" s="45"/>
      <c r="R64" s="45"/>
      <c r="S64" s="45"/>
      <c r="T64" s="45"/>
      <c r="U64" s="45"/>
      <c r="V64" s="45"/>
      <c r="W64" s="75"/>
      <c r="X64" s="75"/>
      <c r="Y64" s="75"/>
      <c r="Z64" s="75"/>
      <c r="AA64" s="75"/>
      <c r="AB64" s="75">
        <v>15000000</v>
      </c>
      <c r="AC64" s="75">
        <f>55000000-10000000</f>
        <v>45000000</v>
      </c>
      <c r="AD64" s="75"/>
      <c r="AE64" s="75"/>
      <c r="AF64" s="75"/>
      <c r="AG64" s="75">
        <f>4000000</f>
        <v>4000000</v>
      </c>
      <c r="AI64" s="25">
        <f t="shared" si="79"/>
        <v>1</v>
      </c>
      <c r="AJ64" s="75">
        <f t="shared" si="50"/>
        <v>64000000</v>
      </c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>
        <f>+'[5]FEBRERO 2015'!$W$753</f>
        <v>15000000</v>
      </c>
      <c r="AZ64" s="75">
        <f>+'[6]JUNIO 2015'!$Y$1453</f>
        <v>45000000</v>
      </c>
      <c r="BA64" s="75"/>
      <c r="BB64" s="75"/>
      <c r="BC64" s="75"/>
      <c r="BD64" s="75">
        <f>+'[2]JULIO 2015'!$AD$1691</f>
        <v>4000000</v>
      </c>
      <c r="BE64" s="25">
        <f t="shared" si="91"/>
        <v>0</v>
      </c>
      <c r="BF64" s="75">
        <f t="shared" si="51"/>
        <v>0</v>
      </c>
      <c r="BG64" s="75">
        <f t="shared" si="93"/>
        <v>0</v>
      </c>
      <c r="BH64" s="75"/>
      <c r="BI64" s="75">
        <f t="shared" si="92"/>
        <v>0</v>
      </c>
      <c r="BJ64" s="75">
        <f t="shared" si="94"/>
        <v>0</v>
      </c>
      <c r="BK64" s="75"/>
      <c r="BL64" s="75">
        <f t="shared" si="95"/>
        <v>0</v>
      </c>
      <c r="BM64" s="75">
        <f t="shared" si="95"/>
        <v>0</v>
      </c>
      <c r="BN64" s="75"/>
      <c r="BO64" s="75"/>
      <c r="BP64" s="75">
        <f t="shared" si="96"/>
        <v>0</v>
      </c>
      <c r="BQ64" s="75"/>
      <c r="BR64" s="75">
        <f t="shared" si="97"/>
        <v>0</v>
      </c>
      <c r="BS64" s="75">
        <f t="shared" si="97"/>
        <v>0</v>
      </c>
      <c r="BT64" s="75">
        <f t="shared" si="97"/>
        <v>0</v>
      </c>
      <c r="BU64" s="75">
        <f t="shared" si="97"/>
        <v>0</v>
      </c>
      <c r="BV64" s="75">
        <f t="shared" si="97"/>
        <v>0</v>
      </c>
      <c r="BW64" s="75">
        <f t="shared" si="97"/>
        <v>0</v>
      </c>
      <c r="BX64" s="75"/>
      <c r="BY64" s="75"/>
      <c r="BZ64" s="75">
        <f t="shared" si="63"/>
        <v>0</v>
      </c>
      <c r="CA64" s="25">
        <f t="shared" si="80"/>
        <v>0.27343685937500001</v>
      </c>
      <c r="CB64" s="75">
        <f t="shared" si="64"/>
        <v>17499959</v>
      </c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>
        <f>+'[2]JULIO 2015'!$H$1694</f>
        <v>14408959</v>
      </c>
      <c r="CR64" s="75">
        <f>+'[3]ABRIL 2015'!$H$1115</f>
        <v>3091000</v>
      </c>
      <c r="CS64" s="75"/>
      <c r="CT64" s="75"/>
      <c r="CU64" s="75"/>
      <c r="CV64" s="75"/>
      <c r="CW64" s="25">
        <f t="shared" si="81"/>
        <v>0.72656314062499994</v>
      </c>
      <c r="CX64" s="75">
        <f t="shared" si="65"/>
        <v>46500041</v>
      </c>
      <c r="CY64" s="75"/>
      <c r="CZ64" s="75"/>
      <c r="DA64" s="75"/>
      <c r="DB64" s="75">
        <f t="shared" si="102"/>
        <v>0</v>
      </c>
      <c r="DC64" s="75"/>
      <c r="DD64" s="75">
        <f t="shared" si="98"/>
        <v>0</v>
      </c>
      <c r="DE64" s="75">
        <f t="shared" si="98"/>
        <v>0</v>
      </c>
      <c r="DF64" s="75"/>
      <c r="DG64" s="75">
        <f t="shared" si="99"/>
        <v>0</v>
      </c>
      <c r="DH64" s="75">
        <f t="shared" si="99"/>
        <v>0</v>
      </c>
      <c r="DI64" s="75"/>
      <c r="DJ64" s="75">
        <f t="shared" si="100"/>
        <v>0</v>
      </c>
      <c r="DK64" s="75">
        <f t="shared" si="100"/>
        <v>0</v>
      </c>
      <c r="DL64" s="75">
        <f t="shared" si="100"/>
        <v>0</v>
      </c>
      <c r="DM64" s="75">
        <f t="shared" si="101"/>
        <v>591041</v>
      </c>
      <c r="DN64" s="75">
        <f t="shared" si="101"/>
        <v>41909000</v>
      </c>
      <c r="DO64" s="75">
        <f t="shared" si="101"/>
        <v>0</v>
      </c>
      <c r="DP64" s="75">
        <f t="shared" si="101"/>
        <v>0</v>
      </c>
      <c r="DQ64" s="75"/>
      <c r="DR64" s="75">
        <f t="shared" si="78"/>
        <v>4000000</v>
      </c>
    </row>
    <row r="65" spans="1:122" ht="36" customHeight="1" x14ac:dyDescent="0.25">
      <c r="A65" s="226"/>
      <c r="B65" s="81"/>
      <c r="C65" s="82" t="s">
        <v>307</v>
      </c>
      <c r="D65" s="81" t="s">
        <v>306</v>
      </c>
      <c r="E65" s="97">
        <v>410</v>
      </c>
      <c r="F65" s="78" t="s">
        <v>270</v>
      </c>
      <c r="G65" s="228"/>
      <c r="H65" s="79">
        <f t="shared" si="47"/>
        <v>10299628</v>
      </c>
      <c r="I65" s="79">
        <f t="shared" si="48"/>
        <v>29700372</v>
      </c>
      <c r="J65" s="78"/>
      <c r="K65" s="78"/>
      <c r="L65" s="78"/>
      <c r="M65" s="75">
        <f t="shared" si="49"/>
        <v>40000000</v>
      </c>
      <c r="N65" s="45"/>
      <c r="O65" s="45"/>
      <c r="P65" s="45"/>
      <c r="Q65" s="45"/>
      <c r="R65" s="45"/>
      <c r="S65" s="45"/>
      <c r="T65" s="45"/>
      <c r="U65" s="45"/>
      <c r="V65" s="45"/>
      <c r="W65" s="75"/>
      <c r="X65" s="75"/>
      <c r="Y65" s="75"/>
      <c r="Z65" s="75"/>
      <c r="AA65" s="75">
        <v>21280016</v>
      </c>
      <c r="AB65" s="75">
        <v>15000000</v>
      </c>
      <c r="AC65" s="75">
        <f>13719984-10000000</f>
        <v>3719984</v>
      </c>
      <c r="AD65" s="75"/>
      <c r="AE65" s="75"/>
      <c r="AF65" s="75"/>
      <c r="AG65" s="75"/>
      <c r="AI65" s="25">
        <f t="shared" si="79"/>
        <v>0.75</v>
      </c>
      <c r="AJ65" s="75">
        <f t="shared" si="50"/>
        <v>30000000</v>
      </c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>
        <f>+'[6]JUNIO 2015'!$W$1466</f>
        <v>11280016</v>
      </c>
      <c r="AY65" s="75">
        <f>+'[5]FEBRERO 2015'!$W$759</f>
        <v>15000000</v>
      </c>
      <c r="AZ65" s="75">
        <v>3719984</v>
      </c>
      <c r="BA65" s="75"/>
      <c r="BB65" s="75"/>
      <c r="BC65" s="75"/>
      <c r="BD65" s="75"/>
      <c r="BE65" s="25">
        <f t="shared" si="91"/>
        <v>0.25</v>
      </c>
      <c r="BF65" s="75">
        <f t="shared" si="51"/>
        <v>10000000</v>
      </c>
      <c r="BG65" s="75">
        <f t="shared" si="93"/>
        <v>0</v>
      </c>
      <c r="BH65" s="75"/>
      <c r="BI65" s="75">
        <f t="shared" si="92"/>
        <v>0</v>
      </c>
      <c r="BJ65" s="75">
        <f t="shared" si="94"/>
        <v>0</v>
      </c>
      <c r="BK65" s="75"/>
      <c r="BL65" s="75">
        <f t="shared" si="95"/>
        <v>0</v>
      </c>
      <c r="BM65" s="75">
        <f t="shared" si="95"/>
        <v>0</v>
      </c>
      <c r="BN65" s="75"/>
      <c r="BO65" s="75"/>
      <c r="BP65" s="75">
        <f t="shared" si="96"/>
        <v>0</v>
      </c>
      <c r="BQ65" s="75"/>
      <c r="BR65" s="75">
        <f t="shared" si="97"/>
        <v>0</v>
      </c>
      <c r="BS65" s="75">
        <f t="shared" si="97"/>
        <v>0</v>
      </c>
      <c r="BT65" s="75">
        <f t="shared" si="97"/>
        <v>10000000</v>
      </c>
      <c r="BU65" s="75">
        <f t="shared" si="97"/>
        <v>0</v>
      </c>
      <c r="BV65" s="75">
        <f t="shared" si="97"/>
        <v>0</v>
      </c>
      <c r="BW65" s="75">
        <f t="shared" si="97"/>
        <v>0</v>
      </c>
      <c r="BX65" s="75"/>
      <c r="BY65" s="75"/>
      <c r="BZ65" s="75">
        <f t="shared" si="63"/>
        <v>0</v>
      </c>
      <c r="CA65" s="25">
        <f t="shared" si="80"/>
        <v>0.25749070000000002</v>
      </c>
      <c r="CB65" s="75">
        <f t="shared" si="64"/>
        <v>10299628</v>
      </c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>
        <f>+'[3]ABRIL 2015'!$H$1128</f>
        <v>4466293</v>
      </c>
      <c r="CQ65" s="75">
        <f>+'[2]JULIO 2015'!$H$1726</f>
        <v>5833335</v>
      </c>
      <c r="CR65" s="75"/>
      <c r="CS65" s="75"/>
      <c r="CT65" s="75"/>
      <c r="CU65" s="75"/>
      <c r="CV65" s="75"/>
      <c r="CW65" s="25">
        <f t="shared" si="81"/>
        <v>0.74250930000000004</v>
      </c>
      <c r="CX65" s="75">
        <f t="shared" si="65"/>
        <v>29700372</v>
      </c>
      <c r="CY65" s="75"/>
      <c r="CZ65" s="75"/>
      <c r="DA65" s="75"/>
      <c r="DB65" s="75">
        <f t="shared" si="102"/>
        <v>0</v>
      </c>
      <c r="DC65" s="75"/>
      <c r="DD65" s="75">
        <f t="shared" si="98"/>
        <v>0</v>
      </c>
      <c r="DE65" s="75">
        <f t="shared" si="98"/>
        <v>0</v>
      </c>
      <c r="DF65" s="75"/>
      <c r="DG65" s="75">
        <f t="shared" si="99"/>
        <v>0</v>
      </c>
      <c r="DH65" s="75">
        <f t="shared" si="99"/>
        <v>0</v>
      </c>
      <c r="DI65" s="75"/>
      <c r="DJ65" s="75">
        <f t="shared" si="100"/>
        <v>0</v>
      </c>
      <c r="DK65" s="75">
        <f t="shared" si="100"/>
        <v>0</v>
      </c>
      <c r="DL65" s="75">
        <f t="shared" si="100"/>
        <v>16813723</v>
      </c>
      <c r="DM65" s="75">
        <f t="shared" si="101"/>
        <v>9166665</v>
      </c>
      <c r="DN65" s="75">
        <f t="shared" si="101"/>
        <v>3719984</v>
      </c>
      <c r="DO65" s="75">
        <f t="shared" si="101"/>
        <v>0</v>
      </c>
      <c r="DP65" s="75">
        <f t="shared" si="101"/>
        <v>0</v>
      </c>
      <c r="DQ65" s="75"/>
      <c r="DR65" s="75">
        <f t="shared" si="78"/>
        <v>0</v>
      </c>
    </row>
    <row r="66" spans="1:122" ht="39.75" customHeight="1" x14ac:dyDescent="0.25">
      <c r="A66" s="239"/>
      <c r="B66" s="81"/>
      <c r="C66" s="82" t="s">
        <v>305</v>
      </c>
      <c r="D66" s="81" t="s">
        <v>304</v>
      </c>
      <c r="E66" s="97">
        <v>410</v>
      </c>
      <c r="F66" s="78" t="s">
        <v>303</v>
      </c>
      <c r="G66" s="229"/>
      <c r="H66" s="79">
        <f t="shared" si="47"/>
        <v>8000000</v>
      </c>
      <c r="I66" s="79">
        <f t="shared" si="48"/>
        <v>8437254</v>
      </c>
      <c r="J66" s="78"/>
      <c r="K66" s="78"/>
      <c r="L66" s="78"/>
      <c r="M66" s="75">
        <f t="shared" si="49"/>
        <v>16437254</v>
      </c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24"/>
      <c r="Z66" s="45"/>
      <c r="AA66" s="45"/>
      <c r="AB66" s="45"/>
      <c r="AC66" s="45"/>
      <c r="AD66" s="45"/>
      <c r="AE66" s="45"/>
      <c r="AF66" s="45"/>
      <c r="AG66" s="75">
        <f>20437254-4000000</f>
        <v>16437254</v>
      </c>
      <c r="AI66" s="25">
        <f t="shared" si="79"/>
        <v>1</v>
      </c>
      <c r="AJ66" s="75">
        <f t="shared" si="50"/>
        <v>16437254</v>
      </c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>
        <v>16437254</v>
      </c>
      <c r="BE66" s="25">
        <f t="shared" si="91"/>
        <v>0</v>
      </c>
      <c r="BF66" s="75">
        <f t="shared" si="51"/>
        <v>0</v>
      </c>
      <c r="BG66" s="75">
        <f t="shared" si="93"/>
        <v>0</v>
      </c>
      <c r="BH66" s="75"/>
      <c r="BI66" s="75">
        <f t="shared" si="92"/>
        <v>0</v>
      </c>
      <c r="BJ66" s="75">
        <f t="shared" si="94"/>
        <v>0</v>
      </c>
      <c r="BK66" s="75"/>
      <c r="BL66" s="75">
        <f t="shared" si="95"/>
        <v>0</v>
      </c>
      <c r="BM66" s="75">
        <f t="shared" si="95"/>
        <v>0</v>
      </c>
      <c r="BN66" s="75"/>
      <c r="BO66" s="75">
        <f>+V66-AS66</f>
        <v>0</v>
      </c>
      <c r="BP66" s="75">
        <f t="shared" si="96"/>
        <v>0</v>
      </c>
      <c r="BQ66" s="75">
        <f>+X66-AU66</f>
        <v>0</v>
      </c>
      <c r="BR66" s="75">
        <f t="shared" si="97"/>
        <v>0</v>
      </c>
      <c r="BS66" s="75">
        <f t="shared" si="97"/>
        <v>0</v>
      </c>
      <c r="BT66" s="75">
        <f t="shared" si="97"/>
        <v>0</v>
      </c>
      <c r="BU66" s="75">
        <f t="shared" si="97"/>
        <v>0</v>
      </c>
      <c r="BV66" s="75">
        <f t="shared" si="97"/>
        <v>0</v>
      </c>
      <c r="BW66" s="75">
        <f t="shared" si="97"/>
        <v>0</v>
      </c>
      <c r="BX66" s="75">
        <f>+AE66-BB66</f>
        <v>0</v>
      </c>
      <c r="BY66" s="75">
        <f>+AF66-BC66</f>
        <v>0</v>
      </c>
      <c r="BZ66" s="75">
        <f t="shared" si="63"/>
        <v>0</v>
      </c>
      <c r="CA66" s="25">
        <f t="shared" si="80"/>
        <v>0.48669929904350201</v>
      </c>
      <c r="CB66" s="75">
        <f t="shared" si="64"/>
        <v>8000000</v>
      </c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>
        <f>+'[5]FEBRERO 2015'!$H$763</f>
        <v>8000000</v>
      </c>
      <c r="CW66" s="25">
        <f t="shared" si="81"/>
        <v>0.51330070095649805</v>
      </c>
      <c r="CX66" s="75">
        <f t="shared" si="65"/>
        <v>8437254</v>
      </c>
      <c r="CY66" s="75"/>
      <c r="CZ66" s="75">
        <f>O66-CD66</f>
        <v>0</v>
      </c>
      <c r="DA66" s="75"/>
      <c r="DB66" s="75">
        <f t="shared" si="102"/>
        <v>0</v>
      </c>
      <c r="DC66" s="75"/>
      <c r="DD66" s="75">
        <f t="shared" si="98"/>
        <v>0</v>
      </c>
      <c r="DE66" s="75">
        <f t="shared" si="98"/>
        <v>0</v>
      </c>
      <c r="DF66" s="75"/>
      <c r="DG66" s="75">
        <f t="shared" si="99"/>
        <v>0</v>
      </c>
      <c r="DH66" s="75">
        <f t="shared" si="99"/>
        <v>0</v>
      </c>
      <c r="DI66" s="75"/>
      <c r="DJ66" s="75">
        <f t="shared" si="100"/>
        <v>0</v>
      </c>
      <c r="DK66" s="75">
        <f t="shared" si="100"/>
        <v>0</v>
      </c>
      <c r="DL66" s="75">
        <f t="shared" si="100"/>
        <v>0</v>
      </c>
      <c r="DM66" s="75">
        <f t="shared" si="101"/>
        <v>0</v>
      </c>
      <c r="DN66" s="75">
        <f t="shared" si="101"/>
        <v>0</v>
      </c>
      <c r="DO66" s="75">
        <f t="shared" si="101"/>
        <v>0</v>
      </c>
      <c r="DP66" s="75">
        <f t="shared" si="101"/>
        <v>0</v>
      </c>
      <c r="DQ66" s="75"/>
      <c r="DR66" s="75">
        <f t="shared" si="78"/>
        <v>8437254</v>
      </c>
    </row>
    <row r="67" spans="1:122" s="68" customFormat="1" ht="22.5" customHeight="1" thickBot="1" x14ac:dyDescent="0.3">
      <c r="A67" s="124"/>
      <c r="B67" s="241" t="s">
        <v>302</v>
      </c>
      <c r="C67" s="241"/>
      <c r="D67" s="241"/>
      <c r="E67" s="241"/>
      <c r="F67" s="123"/>
      <c r="G67" s="69">
        <f>SUM(G35:G66)</f>
        <v>4593000000</v>
      </c>
      <c r="H67" s="69">
        <f>SUM(H35:H66)</f>
        <v>3115857051</v>
      </c>
      <c r="I67" s="69">
        <f>SUM(I35:I66)</f>
        <v>3366660918</v>
      </c>
      <c r="J67" s="122"/>
      <c r="K67" s="122"/>
      <c r="L67" s="122"/>
      <c r="M67" s="69">
        <f t="shared" ref="M67:AG67" si="103">SUM(M35:M66)</f>
        <v>6482517969</v>
      </c>
      <c r="N67" s="69">
        <f t="shared" si="103"/>
        <v>0</v>
      </c>
      <c r="O67" s="69">
        <f t="shared" si="103"/>
        <v>134533656</v>
      </c>
      <c r="P67" s="69">
        <f t="shared" si="103"/>
        <v>396726534</v>
      </c>
      <c r="Q67" s="69">
        <f t="shared" si="103"/>
        <v>775722031</v>
      </c>
      <c r="R67" s="69">
        <f t="shared" si="103"/>
        <v>0</v>
      </c>
      <c r="S67" s="69">
        <f t="shared" si="103"/>
        <v>544180877</v>
      </c>
      <c r="T67" s="69">
        <f t="shared" si="103"/>
        <v>55000000</v>
      </c>
      <c r="U67" s="69">
        <f t="shared" si="103"/>
        <v>102810569</v>
      </c>
      <c r="V67" s="69">
        <f t="shared" si="103"/>
        <v>219471348</v>
      </c>
      <c r="W67" s="69">
        <f t="shared" si="103"/>
        <v>0</v>
      </c>
      <c r="X67" s="69">
        <f t="shared" si="103"/>
        <v>0</v>
      </c>
      <c r="Y67" s="69">
        <f t="shared" si="103"/>
        <v>0</v>
      </c>
      <c r="Z67" s="69">
        <f t="shared" si="103"/>
        <v>3504013680</v>
      </c>
      <c r="AA67" s="69">
        <f t="shared" si="103"/>
        <v>78609139</v>
      </c>
      <c r="AB67" s="69">
        <f t="shared" si="103"/>
        <v>251718083</v>
      </c>
      <c r="AC67" s="69">
        <f t="shared" si="103"/>
        <v>261973650</v>
      </c>
      <c r="AD67" s="69">
        <f t="shared" si="103"/>
        <v>0</v>
      </c>
      <c r="AE67" s="69">
        <f t="shared" si="103"/>
        <v>80844085</v>
      </c>
      <c r="AF67" s="69">
        <f t="shared" si="103"/>
        <v>0</v>
      </c>
      <c r="AG67" s="69">
        <f t="shared" si="103"/>
        <v>76914317</v>
      </c>
      <c r="AI67" s="121">
        <f t="shared" si="79"/>
        <v>0.81929652943473397</v>
      </c>
      <c r="AJ67" s="69">
        <f t="shared" ref="AJ67:BD67" si="104">SUM(AJ35:AJ66)</f>
        <v>5311104474</v>
      </c>
      <c r="AK67" s="69">
        <f t="shared" si="104"/>
        <v>0</v>
      </c>
      <c r="AL67" s="69">
        <f t="shared" si="104"/>
        <v>133268976</v>
      </c>
      <c r="AM67" s="69">
        <f t="shared" si="104"/>
        <v>396726534</v>
      </c>
      <c r="AN67" s="69">
        <f t="shared" si="104"/>
        <v>775722031</v>
      </c>
      <c r="AO67" s="69">
        <f t="shared" si="104"/>
        <v>0</v>
      </c>
      <c r="AP67" s="69">
        <f t="shared" si="104"/>
        <v>544180877</v>
      </c>
      <c r="AQ67" s="69">
        <f t="shared" si="104"/>
        <v>55000000</v>
      </c>
      <c r="AR67" s="69">
        <f t="shared" si="104"/>
        <v>102810569</v>
      </c>
      <c r="AS67" s="69">
        <f t="shared" si="104"/>
        <v>219471348</v>
      </c>
      <c r="AT67" s="69">
        <f t="shared" si="104"/>
        <v>0</v>
      </c>
      <c r="AU67" s="69">
        <f t="shared" si="104"/>
        <v>0</v>
      </c>
      <c r="AV67" s="69">
        <f t="shared" si="104"/>
        <v>0</v>
      </c>
      <c r="AW67" s="69">
        <f t="shared" si="104"/>
        <v>2385795017</v>
      </c>
      <c r="AX67" s="69">
        <f t="shared" si="104"/>
        <v>68609139</v>
      </c>
      <c r="AY67" s="69">
        <f t="shared" si="104"/>
        <v>235765054</v>
      </c>
      <c r="AZ67" s="69">
        <f t="shared" si="104"/>
        <v>261973590</v>
      </c>
      <c r="BA67" s="69">
        <f t="shared" si="104"/>
        <v>0</v>
      </c>
      <c r="BB67" s="69">
        <f t="shared" si="104"/>
        <v>80844085</v>
      </c>
      <c r="BC67" s="69">
        <f t="shared" si="104"/>
        <v>0</v>
      </c>
      <c r="BD67" s="69">
        <f t="shared" si="104"/>
        <v>50937254</v>
      </c>
      <c r="BE67" s="121">
        <f t="shared" si="91"/>
        <v>0.18070347056526603</v>
      </c>
      <c r="BF67" s="69">
        <f t="shared" ref="BF67:BZ67" si="105">SUM(BF35:BF66)</f>
        <v>1171413495</v>
      </c>
      <c r="BG67" s="69">
        <f t="shared" si="105"/>
        <v>0</v>
      </c>
      <c r="BH67" s="69">
        <f t="shared" si="105"/>
        <v>1264680</v>
      </c>
      <c r="BI67" s="69">
        <f t="shared" si="105"/>
        <v>0</v>
      </c>
      <c r="BJ67" s="69">
        <f t="shared" si="105"/>
        <v>0</v>
      </c>
      <c r="BK67" s="69">
        <f t="shared" si="105"/>
        <v>0</v>
      </c>
      <c r="BL67" s="69">
        <f t="shared" si="105"/>
        <v>0</v>
      </c>
      <c r="BM67" s="69">
        <f t="shared" si="105"/>
        <v>0</v>
      </c>
      <c r="BN67" s="69">
        <f t="shared" si="105"/>
        <v>0</v>
      </c>
      <c r="BO67" s="69">
        <f t="shared" si="105"/>
        <v>0</v>
      </c>
      <c r="BP67" s="69">
        <f t="shared" si="105"/>
        <v>0</v>
      </c>
      <c r="BQ67" s="69">
        <f t="shared" si="105"/>
        <v>0</v>
      </c>
      <c r="BR67" s="69">
        <f t="shared" si="105"/>
        <v>0</v>
      </c>
      <c r="BS67" s="69">
        <f t="shared" si="105"/>
        <v>1118218663</v>
      </c>
      <c r="BT67" s="69">
        <f t="shared" si="105"/>
        <v>10000000</v>
      </c>
      <c r="BU67" s="69">
        <f t="shared" si="105"/>
        <v>15953029</v>
      </c>
      <c r="BV67" s="69">
        <f t="shared" si="105"/>
        <v>60</v>
      </c>
      <c r="BW67" s="69">
        <f t="shared" si="105"/>
        <v>0</v>
      </c>
      <c r="BX67" s="69">
        <f t="shared" si="105"/>
        <v>0</v>
      </c>
      <c r="BY67" s="69">
        <f t="shared" si="105"/>
        <v>0</v>
      </c>
      <c r="BZ67" s="69">
        <f t="shared" si="105"/>
        <v>25977063</v>
      </c>
      <c r="CA67" s="121">
        <f t="shared" si="80"/>
        <v>0.48065536661839064</v>
      </c>
      <c r="CB67" s="69">
        <f t="shared" ref="CB67:CV67" si="106">SUM(CB35:CB66)</f>
        <v>3115857051</v>
      </c>
      <c r="CC67" s="69">
        <f t="shared" si="106"/>
        <v>0</v>
      </c>
      <c r="CD67" s="69">
        <f t="shared" si="106"/>
        <v>133268976</v>
      </c>
      <c r="CE67" s="69">
        <f t="shared" si="106"/>
        <v>396726534</v>
      </c>
      <c r="CF67" s="69">
        <f t="shared" si="106"/>
        <v>560309881</v>
      </c>
      <c r="CG67" s="69">
        <f t="shared" si="106"/>
        <v>0</v>
      </c>
      <c r="CH67" s="69">
        <f t="shared" si="106"/>
        <v>373292464</v>
      </c>
      <c r="CI67" s="69">
        <f t="shared" si="106"/>
        <v>36214247</v>
      </c>
      <c r="CJ67" s="69">
        <f t="shared" si="106"/>
        <v>102810569</v>
      </c>
      <c r="CK67" s="69">
        <f t="shared" si="106"/>
        <v>127534316</v>
      </c>
      <c r="CL67" s="69">
        <f t="shared" si="106"/>
        <v>0</v>
      </c>
      <c r="CM67" s="69">
        <f t="shared" si="106"/>
        <v>0</v>
      </c>
      <c r="CN67" s="69">
        <f t="shared" si="106"/>
        <v>0</v>
      </c>
      <c r="CO67" s="69">
        <f t="shared" si="106"/>
        <v>1103661099</v>
      </c>
      <c r="CP67" s="69">
        <f t="shared" si="106"/>
        <v>48706082</v>
      </c>
      <c r="CQ67" s="69">
        <f t="shared" si="106"/>
        <v>136779453</v>
      </c>
      <c r="CR67" s="69">
        <f t="shared" si="106"/>
        <v>56878541</v>
      </c>
      <c r="CS67" s="69">
        <f t="shared" si="106"/>
        <v>0</v>
      </c>
      <c r="CT67" s="69">
        <f t="shared" si="106"/>
        <v>25815097</v>
      </c>
      <c r="CU67" s="69">
        <f t="shared" si="106"/>
        <v>0</v>
      </c>
      <c r="CV67" s="69">
        <f t="shared" si="106"/>
        <v>13859792</v>
      </c>
      <c r="CW67" s="121">
        <f t="shared" si="81"/>
        <v>0.51934463338160941</v>
      </c>
      <c r="CX67" s="69">
        <f t="shared" ref="CX67:DR67" si="107">SUM(CX35:CX66)</f>
        <v>3366660918</v>
      </c>
      <c r="CY67" s="69">
        <f t="shared" si="107"/>
        <v>0</v>
      </c>
      <c r="CZ67" s="69">
        <f t="shared" si="107"/>
        <v>1264680</v>
      </c>
      <c r="DA67" s="69">
        <f t="shared" si="107"/>
        <v>0</v>
      </c>
      <c r="DB67" s="69">
        <f t="shared" si="107"/>
        <v>215412150</v>
      </c>
      <c r="DC67" s="69">
        <f t="shared" si="107"/>
        <v>0</v>
      </c>
      <c r="DD67" s="69">
        <f t="shared" si="107"/>
        <v>170888413</v>
      </c>
      <c r="DE67" s="69">
        <f t="shared" si="107"/>
        <v>18785753</v>
      </c>
      <c r="DF67" s="69">
        <f t="shared" si="107"/>
        <v>0</v>
      </c>
      <c r="DG67" s="69">
        <f t="shared" si="107"/>
        <v>91937032</v>
      </c>
      <c r="DH67" s="69">
        <f t="shared" si="107"/>
        <v>0</v>
      </c>
      <c r="DI67" s="69">
        <f t="shared" si="107"/>
        <v>0</v>
      </c>
      <c r="DJ67" s="69">
        <f t="shared" si="107"/>
        <v>0</v>
      </c>
      <c r="DK67" s="69">
        <f t="shared" si="107"/>
        <v>2400352581</v>
      </c>
      <c r="DL67" s="69">
        <f t="shared" si="107"/>
        <v>29903057</v>
      </c>
      <c r="DM67" s="69">
        <f t="shared" si="107"/>
        <v>114938630</v>
      </c>
      <c r="DN67" s="69">
        <f t="shared" si="107"/>
        <v>205095109</v>
      </c>
      <c r="DO67" s="69">
        <f t="shared" si="107"/>
        <v>0</v>
      </c>
      <c r="DP67" s="69">
        <f t="shared" si="107"/>
        <v>55028988</v>
      </c>
      <c r="DQ67" s="69">
        <f t="shared" si="107"/>
        <v>0</v>
      </c>
      <c r="DR67" s="120">
        <f t="shared" si="107"/>
        <v>63054525</v>
      </c>
    </row>
    <row r="68" spans="1:122" ht="54" customHeight="1" thickTop="1" x14ac:dyDescent="0.25">
      <c r="A68" s="242" t="s">
        <v>301</v>
      </c>
      <c r="B68" s="81" t="s">
        <v>300</v>
      </c>
      <c r="C68" s="82" t="s">
        <v>299</v>
      </c>
      <c r="D68" s="81" t="s">
        <v>298</v>
      </c>
      <c r="E68" s="97">
        <v>520</v>
      </c>
      <c r="F68" s="78" t="s">
        <v>297</v>
      </c>
      <c r="G68" s="240">
        <v>331000000</v>
      </c>
      <c r="H68" s="79">
        <f t="shared" ref="H68:H102" si="108">+CB68</f>
        <v>837000</v>
      </c>
      <c r="I68" s="79">
        <f t="shared" ref="I68:I102" si="109">M68-H68</f>
        <v>2163000</v>
      </c>
      <c r="J68" s="78"/>
      <c r="K68" s="78"/>
      <c r="L68" s="78"/>
      <c r="M68" s="75">
        <f t="shared" ref="M68:M102" si="110">SUM(N68:AG68)</f>
        <v>3000000</v>
      </c>
      <c r="N68" s="4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>
        <f>2000000+1000000</f>
        <v>3000000</v>
      </c>
      <c r="AI68" s="25">
        <f t="shared" ref="AI68:AI99" si="111">+AJ68/M68</f>
        <v>1</v>
      </c>
      <c r="AJ68" s="75">
        <f t="shared" ref="AJ68:AJ102" si="112">SUM(AK68:BD68)</f>
        <v>3000000</v>
      </c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>
        <f>+'[2]JULIO 2015'!$AD$2136</f>
        <v>3000000</v>
      </c>
      <c r="BE68" s="25">
        <f t="shared" si="91"/>
        <v>0</v>
      </c>
      <c r="BF68" s="75">
        <f t="shared" ref="BF68:BF102" si="113">SUM(BG68:BZ68)</f>
        <v>0</v>
      </c>
      <c r="BG68" s="75">
        <f t="shared" ref="BG68:BG102" si="114">+N68-AK68</f>
        <v>0</v>
      </c>
      <c r="BH68" s="75">
        <f t="shared" ref="BH68:BH102" si="115">O68-AL68</f>
        <v>0</v>
      </c>
      <c r="BI68" s="75"/>
      <c r="BJ68" s="75">
        <f t="shared" ref="BJ68:BJ102" si="116">Q68-AN68</f>
        <v>0</v>
      </c>
      <c r="BK68" s="75"/>
      <c r="BL68" s="75">
        <f t="shared" ref="BL68:BL102" si="117">+S68-AP68</f>
        <v>0</v>
      </c>
      <c r="BM68" s="75">
        <f t="shared" ref="BM68:BM102" si="118">+T68-AQ68</f>
        <v>0</v>
      </c>
      <c r="BN68" s="75"/>
      <c r="BO68" s="75">
        <f t="shared" ref="BO68:BW68" si="119">+V68-AS68</f>
        <v>0</v>
      </c>
      <c r="BP68" s="75">
        <f t="shared" si="119"/>
        <v>0</v>
      </c>
      <c r="BQ68" s="75">
        <f t="shared" si="119"/>
        <v>0</v>
      </c>
      <c r="BR68" s="75">
        <f t="shared" si="119"/>
        <v>0</v>
      </c>
      <c r="BS68" s="75">
        <f t="shared" si="119"/>
        <v>0</v>
      </c>
      <c r="BT68" s="75">
        <f t="shared" si="119"/>
        <v>0</v>
      </c>
      <c r="BU68" s="75">
        <f t="shared" si="119"/>
        <v>0</v>
      </c>
      <c r="BV68" s="75">
        <f t="shared" si="119"/>
        <v>0</v>
      </c>
      <c r="BW68" s="75">
        <f t="shared" si="119"/>
        <v>0</v>
      </c>
      <c r="BX68" s="75"/>
      <c r="BY68" s="75"/>
      <c r="BZ68" s="75">
        <f t="shared" ref="BZ68:BZ102" si="120">+AG68-BD68</f>
        <v>0</v>
      </c>
      <c r="CA68" s="25">
        <f t="shared" ref="CA68:CA99" si="121">+CB68/M68</f>
        <v>0.27900000000000003</v>
      </c>
      <c r="CB68" s="75">
        <f t="shared" ref="CB68:CB102" si="122">SUM(CC68:CV68)</f>
        <v>837000</v>
      </c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  <c r="CR68" s="75"/>
      <c r="CS68" s="75"/>
      <c r="CT68" s="75"/>
      <c r="CU68" s="75"/>
      <c r="CV68" s="75">
        <f>+'[2]JULIO 2015'!$H$2134</f>
        <v>837000</v>
      </c>
      <c r="CW68" s="25">
        <f t="shared" ref="CW68:CW103" si="123">1-CA68</f>
        <v>0.72099999999999997</v>
      </c>
      <c r="CX68" s="75">
        <f t="shared" ref="CX68:CX102" si="124">SUM(CY68:DR68)</f>
        <v>2163000</v>
      </c>
      <c r="CY68" s="75"/>
      <c r="CZ68" s="75"/>
      <c r="DA68" s="75"/>
      <c r="DB68" s="75">
        <f t="shared" ref="DB68:DB102" si="125">Q68-CF68</f>
        <v>0</v>
      </c>
      <c r="DC68" s="75"/>
      <c r="DD68" s="75">
        <f t="shared" ref="DD68:DD102" si="126">S68-CH68</f>
        <v>0</v>
      </c>
      <c r="DE68" s="75">
        <f t="shared" ref="DE68:DE102" si="127">T68-CI68</f>
        <v>0</v>
      </c>
      <c r="DF68" s="75"/>
      <c r="DG68" s="75">
        <f t="shared" ref="DG68:DG102" si="128">+V68-CK68</f>
        <v>0</v>
      </c>
      <c r="DH68" s="75">
        <f t="shared" ref="DH68:DH102" si="129">+W68-CL68</f>
        <v>0</v>
      </c>
      <c r="DI68" s="75"/>
      <c r="DJ68" s="75">
        <f t="shared" ref="DJ68:DJ102" si="130">Y68-CN68</f>
        <v>0</v>
      </c>
      <c r="DK68" s="75">
        <f t="shared" ref="DK68:DK102" si="131">Z68-CO68</f>
        <v>0</v>
      </c>
      <c r="DL68" s="75">
        <f t="shared" ref="DL68:DL102" si="132">AA68-CP68</f>
        <v>0</v>
      </c>
      <c r="DM68" s="75">
        <f t="shared" ref="DM68:DM102" si="133">+AB68-CQ68</f>
        <v>0</v>
      </c>
      <c r="DN68" s="75">
        <f t="shared" ref="DN68:DN102" si="134">+AC68-CR68</f>
        <v>0</v>
      </c>
      <c r="DO68" s="75">
        <f t="shared" ref="DO68:DO102" si="135">+AD68-CS68</f>
        <v>0</v>
      </c>
      <c r="DP68" s="75">
        <f t="shared" ref="DP68:DP102" si="136">+AE68-CT68</f>
        <v>0</v>
      </c>
      <c r="DQ68" s="75"/>
      <c r="DR68" s="75">
        <f t="shared" ref="DR68:DR102" si="137">+AG68-CV68</f>
        <v>2163000</v>
      </c>
    </row>
    <row r="69" spans="1:122" ht="30.75" customHeight="1" x14ac:dyDescent="0.25">
      <c r="A69" s="242"/>
      <c r="B69" s="81"/>
      <c r="C69" s="82" t="s">
        <v>296</v>
      </c>
      <c r="D69" s="81" t="s">
        <v>295</v>
      </c>
      <c r="E69" s="97">
        <v>520</v>
      </c>
      <c r="F69" s="78" t="s">
        <v>214</v>
      </c>
      <c r="G69" s="228"/>
      <c r="H69" s="79">
        <f t="shared" si="108"/>
        <v>14888393</v>
      </c>
      <c r="I69" s="79">
        <f t="shared" si="109"/>
        <v>15111607</v>
      </c>
      <c r="J69" s="78"/>
      <c r="K69" s="78"/>
      <c r="L69" s="78"/>
      <c r="M69" s="75">
        <f t="shared" si="110"/>
        <v>30000000</v>
      </c>
      <c r="N69" s="75"/>
      <c r="O69" s="75"/>
      <c r="P69" s="75"/>
      <c r="Q69" s="75"/>
      <c r="R69" s="75"/>
      <c r="S69" s="75">
        <f>50000000-20000000</f>
        <v>30000000</v>
      </c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I69" s="25">
        <f t="shared" si="111"/>
        <v>1</v>
      </c>
      <c r="AJ69" s="75">
        <f t="shared" si="112"/>
        <v>30000000</v>
      </c>
      <c r="AK69" s="75"/>
      <c r="AL69" s="75"/>
      <c r="AM69" s="75"/>
      <c r="AN69" s="75"/>
      <c r="AO69" s="75"/>
      <c r="AP69" s="75">
        <f>+'[8]FEBRERO 2015'!$N$1017-20000000</f>
        <v>30000000</v>
      </c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25">
        <f t="shared" si="91"/>
        <v>0</v>
      </c>
      <c r="BF69" s="75">
        <f t="shared" si="113"/>
        <v>0</v>
      </c>
      <c r="BG69" s="75">
        <f t="shared" si="114"/>
        <v>0</v>
      </c>
      <c r="BH69" s="75">
        <f t="shared" si="115"/>
        <v>0</v>
      </c>
      <c r="BI69" s="75"/>
      <c r="BJ69" s="75">
        <f t="shared" si="116"/>
        <v>0</v>
      </c>
      <c r="BK69" s="75"/>
      <c r="BL69" s="75">
        <f t="shared" si="117"/>
        <v>0</v>
      </c>
      <c r="BM69" s="75">
        <f t="shared" si="118"/>
        <v>0</v>
      </c>
      <c r="BN69" s="75"/>
      <c r="BO69" s="75"/>
      <c r="BP69" s="75">
        <f t="shared" ref="BP69:BP102" si="138">+W69-AT69</f>
        <v>0</v>
      </c>
      <c r="BQ69" s="75"/>
      <c r="BR69" s="75">
        <f t="shared" ref="BR69:BW75" si="139">+Y69-AV69</f>
        <v>0</v>
      </c>
      <c r="BS69" s="75">
        <f t="shared" si="139"/>
        <v>0</v>
      </c>
      <c r="BT69" s="75">
        <f t="shared" si="139"/>
        <v>0</v>
      </c>
      <c r="BU69" s="75">
        <f t="shared" si="139"/>
        <v>0</v>
      </c>
      <c r="BV69" s="75">
        <f t="shared" si="139"/>
        <v>0</v>
      </c>
      <c r="BW69" s="75">
        <f t="shared" si="139"/>
        <v>0</v>
      </c>
      <c r="BX69" s="75"/>
      <c r="BY69" s="75"/>
      <c r="BZ69" s="75">
        <f t="shared" si="120"/>
        <v>0</v>
      </c>
      <c r="CA69" s="25">
        <f t="shared" si="121"/>
        <v>0.49627976666666668</v>
      </c>
      <c r="CB69" s="75">
        <f t="shared" si="122"/>
        <v>14888393</v>
      </c>
      <c r="CC69" s="75"/>
      <c r="CD69" s="75"/>
      <c r="CE69" s="75"/>
      <c r="CF69" s="75"/>
      <c r="CG69" s="75"/>
      <c r="CH69" s="75">
        <f>+'[1]AGOSTO 2015'!$H$2410</f>
        <v>14888393</v>
      </c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25">
        <f t="shared" si="123"/>
        <v>0.50372023333333327</v>
      </c>
      <c r="CX69" s="75">
        <f t="shared" si="124"/>
        <v>15111607</v>
      </c>
      <c r="CY69" s="75"/>
      <c r="CZ69" s="75"/>
      <c r="DA69" s="75"/>
      <c r="DB69" s="75">
        <f t="shared" si="125"/>
        <v>0</v>
      </c>
      <c r="DC69" s="75"/>
      <c r="DD69" s="75">
        <f t="shared" si="126"/>
        <v>15111607</v>
      </c>
      <c r="DE69" s="75">
        <f t="shared" si="127"/>
        <v>0</v>
      </c>
      <c r="DF69" s="75"/>
      <c r="DG69" s="75">
        <f t="shared" si="128"/>
        <v>0</v>
      </c>
      <c r="DH69" s="75">
        <f t="shared" si="129"/>
        <v>0</v>
      </c>
      <c r="DI69" s="75"/>
      <c r="DJ69" s="75">
        <f t="shared" si="130"/>
        <v>0</v>
      </c>
      <c r="DK69" s="75">
        <f t="shared" si="131"/>
        <v>0</v>
      </c>
      <c r="DL69" s="75">
        <f t="shared" si="132"/>
        <v>0</v>
      </c>
      <c r="DM69" s="75">
        <f t="shared" si="133"/>
        <v>0</v>
      </c>
      <c r="DN69" s="75">
        <f t="shared" si="134"/>
        <v>0</v>
      </c>
      <c r="DO69" s="75">
        <f t="shared" si="135"/>
        <v>0</v>
      </c>
      <c r="DP69" s="75">
        <f t="shared" si="136"/>
        <v>0</v>
      </c>
      <c r="DQ69" s="75"/>
      <c r="DR69" s="75">
        <f t="shared" si="137"/>
        <v>0</v>
      </c>
    </row>
    <row r="70" spans="1:122" ht="27" customHeight="1" x14ac:dyDescent="0.25">
      <c r="A70" s="242"/>
      <c r="B70" s="81"/>
      <c r="C70" s="82" t="s">
        <v>294</v>
      </c>
      <c r="D70" s="81" t="s">
        <v>293</v>
      </c>
      <c r="E70" s="97">
        <v>520</v>
      </c>
      <c r="F70" s="78" t="s">
        <v>214</v>
      </c>
      <c r="G70" s="228"/>
      <c r="H70" s="79">
        <f t="shared" si="108"/>
        <v>2198900</v>
      </c>
      <c r="I70" s="79">
        <f t="shared" si="109"/>
        <v>17801100</v>
      </c>
      <c r="J70" s="78"/>
      <c r="K70" s="78"/>
      <c r="L70" s="78"/>
      <c r="M70" s="75">
        <f t="shared" si="110"/>
        <v>20000000</v>
      </c>
      <c r="N70" s="75"/>
      <c r="O70" s="75"/>
      <c r="P70" s="75"/>
      <c r="Q70" s="75"/>
      <c r="R70" s="75"/>
      <c r="S70" s="75">
        <f>50000000-20000000-20000000</f>
        <v>10000000</v>
      </c>
      <c r="T70" s="75"/>
      <c r="U70" s="75"/>
      <c r="V70" s="75"/>
      <c r="W70" s="75"/>
      <c r="X70" s="75"/>
      <c r="Y70" s="75"/>
      <c r="Z70" s="75"/>
      <c r="AA70" s="75"/>
      <c r="AB70" s="75">
        <v>10000000</v>
      </c>
      <c r="AC70" s="75"/>
      <c r="AD70" s="75"/>
      <c r="AE70" s="75"/>
      <c r="AF70" s="75"/>
      <c r="AG70" s="75"/>
      <c r="AI70" s="25">
        <f t="shared" si="111"/>
        <v>1</v>
      </c>
      <c r="AJ70" s="75">
        <f t="shared" si="112"/>
        <v>20000000</v>
      </c>
      <c r="AK70" s="75"/>
      <c r="AL70" s="75"/>
      <c r="AM70" s="75"/>
      <c r="AN70" s="75"/>
      <c r="AO70" s="75"/>
      <c r="AP70" s="75">
        <f>+'[8]FEBRERO 2015'!$N$1024-40000000</f>
        <v>10000000</v>
      </c>
      <c r="AQ70" s="75"/>
      <c r="AR70" s="75"/>
      <c r="AS70" s="75"/>
      <c r="AT70" s="75"/>
      <c r="AU70" s="75"/>
      <c r="AV70" s="75"/>
      <c r="AW70" s="75"/>
      <c r="AX70" s="75"/>
      <c r="AY70" s="75">
        <f>+'[5]FEBRERO 2015'!$W$1086</f>
        <v>10000000</v>
      </c>
      <c r="AZ70" s="75"/>
      <c r="BA70" s="75"/>
      <c r="BB70" s="75"/>
      <c r="BC70" s="75"/>
      <c r="BD70" s="75"/>
      <c r="BE70" s="25">
        <f t="shared" si="91"/>
        <v>0</v>
      </c>
      <c r="BF70" s="75">
        <f t="shared" si="113"/>
        <v>0</v>
      </c>
      <c r="BG70" s="75">
        <f t="shared" si="114"/>
        <v>0</v>
      </c>
      <c r="BH70" s="75">
        <f t="shared" si="115"/>
        <v>0</v>
      </c>
      <c r="BI70" s="75"/>
      <c r="BJ70" s="75">
        <f t="shared" si="116"/>
        <v>0</v>
      </c>
      <c r="BK70" s="75"/>
      <c r="BL70" s="75">
        <f t="shared" si="117"/>
        <v>0</v>
      </c>
      <c r="BM70" s="75">
        <f t="shared" si="118"/>
        <v>0</v>
      </c>
      <c r="BN70" s="75"/>
      <c r="BO70" s="75"/>
      <c r="BP70" s="75">
        <f t="shared" si="138"/>
        <v>0</v>
      </c>
      <c r="BQ70" s="75"/>
      <c r="BR70" s="75">
        <f t="shared" si="139"/>
        <v>0</v>
      </c>
      <c r="BS70" s="75">
        <f t="shared" si="139"/>
        <v>0</v>
      </c>
      <c r="BT70" s="75">
        <f t="shared" si="139"/>
        <v>0</v>
      </c>
      <c r="BU70" s="75">
        <f t="shared" si="139"/>
        <v>0</v>
      </c>
      <c r="BV70" s="75">
        <f t="shared" si="139"/>
        <v>0</v>
      </c>
      <c r="BW70" s="75">
        <f t="shared" si="139"/>
        <v>0</v>
      </c>
      <c r="BX70" s="75"/>
      <c r="BY70" s="75"/>
      <c r="BZ70" s="75">
        <f t="shared" si="120"/>
        <v>0</v>
      </c>
      <c r="CA70" s="25">
        <f t="shared" si="121"/>
        <v>0.109945</v>
      </c>
      <c r="CB70" s="75">
        <f t="shared" si="122"/>
        <v>2198900</v>
      </c>
      <c r="CC70" s="75"/>
      <c r="CD70" s="75"/>
      <c r="CE70" s="75"/>
      <c r="CF70" s="75"/>
      <c r="CG70" s="75"/>
      <c r="CH70" s="75">
        <f>+'[2]JULIO 2015'!$H$2162</f>
        <v>2198900</v>
      </c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25">
        <f t="shared" si="123"/>
        <v>0.89005500000000004</v>
      </c>
      <c r="CX70" s="75">
        <f t="shared" si="124"/>
        <v>17801100</v>
      </c>
      <c r="CY70" s="75"/>
      <c r="CZ70" s="75"/>
      <c r="DA70" s="75"/>
      <c r="DB70" s="75">
        <f t="shared" si="125"/>
        <v>0</v>
      </c>
      <c r="DC70" s="75"/>
      <c r="DD70" s="75">
        <f t="shared" si="126"/>
        <v>7801100</v>
      </c>
      <c r="DE70" s="75">
        <f t="shared" si="127"/>
        <v>0</v>
      </c>
      <c r="DF70" s="75"/>
      <c r="DG70" s="75">
        <f t="shared" si="128"/>
        <v>0</v>
      </c>
      <c r="DH70" s="75">
        <f t="shared" si="129"/>
        <v>0</v>
      </c>
      <c r="DI70" s="75"/>
      <c r="DJ70" s="75">
        <f t="shared" si="130"/>
        <v>0</v>
      </c>
      <c r="DK70" s="75">
        <f t="shared" si="131"/>
        <v>0</v>
      </c>
      <c r="DL70" s="75">
        <f t="shared" si="132"/>
        <v>0</v>
      </c>
      <c r="DM70" s="75">
        <f t="shared" si="133"/>
        <v>10000000</v>
      </c>
      <c r="DN70" s="75">
        <f t="shared" si="134"/>
        <v>0</v>
      </c>
      <c r="DO70" s="75">
        <f t="shared" si="135"/>
        <v>0</v>
      </c>
      <c r="DP70" s="75">
        <f t="shared" si="136"/>
        <v>0</v>
      </c>
      <c r="DQ70" s="75"/>
      <c r="DR70" s="75">
        <f t="shared" si="137"/>
        <v>0</v>
      </c>
    </row>
    <row r="71" spans="1:122" ht="51" customHeight="1" x14ac:dyDescent="0.25">
      <c r="A71" s="242"/>
      <c r="B71" s="81"/>
      <c r="C71" s="82" t="s">
        <v>292</v>
      </c>
      <c r="D71" s="81" t="s">
        <v>291</v>
      </c>
      <c r="E71" s="97">
        <v>520</v>
      </c>
      <c r="F71" s="78" t="s">
        <v>290</v>
      </c>
      <c r="G71" s="228"/>
      <c r="H71" s="79">
        <f t="shared" si="108"/>
        <v>193792448</v>
      </c>
      <c r="I71" s="79">
        <f t="shared" si="109"/>
        <v>10707552</v>
      </c>
      <c r="J71" s="78"/>
      <c r="K71" s="78"/>
      <c r="L71" s="78"/>
      <c r="M71" s="75">
        <f t="shared" si="110"/>
        <v>204500000</v>
      </c>
      <c r="N71" s="45"/>
      <c r="O71" s="75"/>
      <c r="P71" s="75"/>
      <c r="Q71" s="75"/>
      <c r="R71" s="75"/>
      <c r="S71" s="75">
        <v>200000000</v>
      </c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>
        <f>2000000+2500000</f>
        <v>4500000</v>
      </c>
      <c r="AI71" s="25">
        <f t="shared" si="111"/>
        <v>1</v>
      </c>
      <c r="AJ71" s="75">
        <f t="shared" si="112"/>
        <v>204500000</v>
      </c>
      <c r="AK71" s="75"/>
      <c r="AL71" s="75"/>
      <c r="AM71" s="75"/>
      <c r="AN71" s="75"/>
      <c r="AO71" s="75"/>
      <c r="AP71" s="75">
        <f>+'[8]FEBRERO 2015'!$N$1029</f>
        <v>200000000</v>
      </c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>
        <f>+'[2]JULIO 2015'!$AD$2168</f>
        <v>4500000</v>
      </c>
      <c r="BE71" s="25">
        <f t="shared" si="91"/>
        <v>0</v>
      </c>
      <c r="BF71" s="75">
        <f t="shared" si="113"/>
        <v>0</v>
      </c>
      <c r="BG71" s="75">
        <f t="shared" si="114"/>
        <v>0</v>
      </c>
      <c r="BH71" s="75">
        <f t="shared" si="115"/>
        <v>0</v>
      </c>
      <c r="BI71" s="75"/>
      <c r="BJ71" s="75">
        <f t="shared" si="116"/>
        <v>0</v>
      </c>
      <c r="BK71" s="75"/>
      <c r="BL71" s="75">
        <f t="shared" si="117"/>
        <v>0</v>
      </c>
      <c r="BM71" s="75">
        <f t="shared" si="118"/>
        <v>0</v>
      </c>
      <c r="BN71" s="75"/>
      <c r="BO71" s="75">
        <f>+V71-AS71</f>
        <v>0</v>
      </c>
      <c r="BP71" s="75">
        <f t="shared" si="138"/>
        <v>0</v>
      </c>
      <c r="BQ71" s="75">
        <f t="shared" ref="BQ71:BQ79" si="140">+X71-AU71</f>
        <v>0</v>
      </c>
      <c r="BR71" s="75">
        <f t="shared" si="139"/>
        <v>0</v>
      </c>
      <c r="BS71" s="75">
        <f t="shared" si="139"/>
        <v>0</v>
      </c>
      <c r="BT71" s="75">
        <f t="shared" si="139"/>
        <v>0</v>
      </c>
      <c r="BU71" s="75">
        <f t="shared" si="139"/>
        <v>0</v>
      </c>
      <c r="BV71" s="75">
        <f t="shared" si="139"/>
        <v>0</v>
      </c>
      <c r="BW71" s="75">
        <f t="shared" si="139"/>
        <v>0</v>
      </c>
      <c r="BX71" s="75"/>
      <c r="BY71" s="75"/>
      <c r="BZ71" s="75">
        <f t="shared" si="120"/>
        <v>0</v>
      </c>
      <c r="CA71" s="25">
        <f t="shared" si="121"/>
        <v>0.94764033251833746</v>
      </c>
      <c r="CB71" s="75">
        <f t="shared" si="122"/>
        <v>193792448</v>
      </c>
      <c r="CC71" s="75"/>
      <c r="CD71" s="75"/>
      <c r="CE71" s="75"/>
      <c r="CF71" s="75"/>
      <c r="CG71" s="75"/>
      <c r="CH71" s="75">
        <f>+'[1]AGOSTO 2015'!$H$2444</f>
        <v>193494448</v>
      </c>
      <c r="CI71" s="75"/>
      <c r="CJ71" s="75"/>
      <c r="CK71" s="75"/>
      <c r="CL71" s="75"/>
      <c r="CM71" s="75"/>
      <c r="CN71" s="75"/>
      <c r="CO71" s="75"/>
      <c r="CP71" s="75"/>
      <c r="CQ71" s="75"/>
      <c r="CR71" s="75"/>
      <c r="CS71" s="75"/>
      <c r="CT71" s="75"/>
      <c r="CU71" s="75"/>
      <c r="CV71" s="75">
        <f>+'[6]JUNIO 2015'!$H$1861</f>
        <v>298000</v>
      </c>
      <c r="CW71" s="25">
        <f t="shared" si="123"/>
        <v>5.2359667481662542E-2</v>
      </c>
      <c r="CX71" s="75">
        <f t="shared" si="124"/>
        <v>10707552</v>
      </c>
      <c r="CY71" s="75"/>
      <c r="CZ71" s="75"/>
      <c r="DA71" s="75"/>
      <c r="DB71" s="75">
        <f t="shared" si="125"/>
        <v>0</v>
      </c>
      <c r="DC71" s="75"/>
      <c r="DD71" s="75">
        <f t="shared" si="126"/>
        <v>6505552</v>
      </c>
      <c r="DE71" s="75">
        <f t="shared" si="127"/>
        <v>0</v>
      </c>
      <c r="DF71" s="75"/>
      <c r="DG71" s="75">
        <f t="shared" si="128"/>
        <v>0</v>
      </c>
      <c r="DH71" s="75">
        <f t="shared" si="129"/>
        <v>0</v>
      </c>
      <c r="DI71" s="75"/>
      <c r="DJ71" s="75">
        <f t="shared" si="130"/>
        <v>0</v>
      </c>
      <c r="DK71" s="75">
        <f t="shared" si="131"/>
        <v>0</v>
      </c>
      <c r="DL71" s="75">
        <f t="shared" si="132"/>
        <v>0</v>
      </c>
      <c r="DM71" s="75">
        <f t="shared" si="133"/>
        <v>0</v>
      </c>
      <c r="DN71" s="75">
        <f t="shared" si="134"/>
        <v>0</v>
      </c>
      <c r="DO71" s="75">
        <f t="shared" si="135"/>
        <v>0</v>
      </c>
      <c r="DP71" s="75">
        <f t="shared" si="136"/>
        <v>0</v>
      </c>
      <c r="DQ71" s="75"/>
      <c r="DR71" s="75">
        <f t="shared" si="137"/>
        <v>4202000</v>
      </c>
    </row>
    <row r="72" spans="1:122" ht="37.5" customHeight="1" x14ac:dyDescent="0.25">
      <c r="A72" s="242"/>
      <c r="B72" s="81"/>
      <c r="C72" s="82" t="s">
        <v>289</v>
      </c>
      <c r="D72" s="81" t="s">
        <v>288</v>
      </c>
      <c r="E72" s="97">
        <v>520</v>
      </c>
      <c r="F72" s="78" t="s">
        <v>287</v>
      </c>
      <c r="G72" s="228"/>
      <c r="H72" s="79">
        <f t="shared" si="108"/>
        <v>27772892</v>
      </c>
      <c r="I72" s="79">
        <f t="shared" si="109"/>
        <v>18227108</v>
      </c>
      <c r="J72" s="78"/>
      <c r="K72" s="78"/>
      <c r="L72" s="78"/>
      <c r="M72" s="75">
        <f t="shared" si="110"/>
        <v>46000000</v>
      </c>
      <c r="N72" s="4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>
        <f>25000000+17000000+4000000</f>
        <v>46000000</v>
      </c>
      <c r="AI72" s="25">
        <f t="shared" si="111"/>
        <v>0.67391304347826086</v>
      </c>
      <c r="AJ72" s="75">
        <f t="shared" si="112"/>
        <v>31000000</v>
      </c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>
        <f>+'[2]JULIO 2015'!$AD$2241</f>
        <v>31000000</v>
      </c>
      <c r="BE72" s="25">
        <f t="shared" si="91"/>
        <v>0.32608695652173914</v>
      </c>
      <c r="BF72" s="75">
        <f t="shared" si="113"/>
        <v>15000000</v>
      </c>
      <c r="BG72" s="75">
        <f t="shared" si="114"/>
        <v>0</v>
      </c>
      <c r="BH72" s="75">
        <f t="shared" si="115"/>
        <v>0</v>
      </c>
      <c r="BI72" s="75"/>
      <c r="BJ72" s="75">
        <f t="shared" si="116"/>
        <v>0</v>
      </c>
      <c r="BK72" s="75"/>
      <c r="BL72" s="75">
        <f t="shared" si="117"/>
        <v>0</v>
      </c>
      <c r="BM72" s="75">
        <f t="shared" si="118"/>
        <v>0</v>
      </c>
      <c r="BN72" s="75"/>
      <c r="BO72" s="75">
        <f>+V72-AS72</f>
        <v>0</v>
      </c>
      <c r="BP72" s="75">
        <f t="shared" si="138"/>
        <v>0</v>
      </c>
      <c r="BQ72" s="75">
        <f t="shared" si="140"/>
        <v>0</v>
      </c>
      <c r="BR72" s="75">
        <f t="shared" si="139"/>
        <v>0</v>
      </c>
      <c r="BS72" s="75">
        <f t="shared" si="139"/>
        <v>0</v>
      </c>
      <c r="BT72" s="75">
        <f t="shared" si="139"/>
        <v>0</v>
      </c>
      <c r="BU72" s="75">
        <f t="shared" si="139"/>
        <v>0</v>
      </c>
      <c r="BV72" s="75">
        <f t="shared" si="139"/>
        <v>0</v>
      </c>
      <c r="BW72" s="75">
        <f t="shared" si="139"/>
        <v>0</v>
      </c>
      <c r="BX72" s="75">
        <f>+AE72-BB72</f>
        <v>0</v>
      </c>
      <c r="BY72" s="75"/>
      <c r="BZ72" s="75">
        <f t="shared" si="120"/>
        <v>15000000</v>
      </c>
      <c r="CA72" s="25">
        <f t="shared" si="121"/>
        <v>0.60375852173913047</v>
      </c>
      <c r="CB72" s="75">
        <f t="shared" si="122"/>
        <v>27772892</v>
      </c>
      <c r="CC72" s="75"/>
      <c r="CD72" s="75"/>
      <c r="CE72" s="75"/>
      <c r="CF72" s="75"/>
      <c r="CG72" s="75"/>
      <c r="CH72" s="75"/>
      <c r="CI72" s="75"/>
      <c r="CJ72" s="75"/>
      <c r="CK72" s="75"/>
      <c r="CL72" s="75"/>
      <c r="CM72" s="75"/>
      <c r="CN72" s="75"/>
      <c r="CO72" s="75"/>
      <c r="CP72" s="75"/>
      <c r="CQ72" s="75"/>
      <c r="CR72" s="75"/>
      <c r="CS72" s="75"/>
      <c r="CT72" s="75"/>
      <c r="CU72" s="75"/>
      <c r="CV72" s="75">
        <f>+'[1]AGOSTO 2015'!$H$2511</f>
        <v>27772892</v>
      </c>
      <c r="CW72" s="25">
        <f t="shared" si="123"/>
        <v>0.39624147826086953</v>
      </c>
      <c r="CX72" s="75">
        <f t="shared" si="124"/>
        <v>18227108</v>
      </c>
      <c r="CY72" s="75"/>
      <c r="CZ72" s="75"/>
      <c r="DA72" s="75"/>
      <c r="DB72" s="75">
        <f t="shared" si="125"/>
        <v>0</v>
      </c>
      <c r="DC72" s="75"/>
      <c r="DD72" s="75">
        <f t="shared" si="126"/>
        <v>0</v>
      </c>
      <c r="DE72" s="75">
        <f t="shared" si="127"/>
        <v>0</v>
      </c>
      <c r="DF72" s="75"/>
      <c r="DG72" s="75">
        <f t="shared" si="128"/>
        <v>0</v>
      </c>
      <c r="DH72" s="75">
        <f t="shared" si="129"/>
        <v>0</v>
      </c>
      <c r="DI72" s="75"/>
      <c r="DJ72" s="75">
        <f t="shared" si="130"/>
        <v>0</v>
      </c>
      <c r="DK72" s="75">
        <f t="shared" si="131"/>
        <v>0</v>
      </c>
      <c r="DL72" s="75">
        <f t="shared" si="132"/>
        <v>0</v>
      </c>
      <c r="DM72" s="75">
        <f t="shared" si="133"/>
        <v>0</v>
      </c>
      <c r="DN72" s="75">
        <f t="shared" si="134"/>
        <v>0</v>
      </c>
      <c r="DO72" s="75">
        <f t="shared" si="135"/>
        <v>0</v>
      </c>
      <c r="DP72" s="75">
        <f t="shared" si="136"/>
        <v>0</v>
      </c>
      <c r="DQ72" s="75"/>
      <c r="DR72" s="75">
        <f t="shared" si="137"/>
        <v>18227108</v>
      </c>
    </row>
    <row r="73" spans="1:122" ht="37.5" customHeight="1" x14ac:dyDescent="0.25">
      <c r="A73" s="242"/>
      <c r="B73" s="81"/>
      <c r="C73" s="82" t="s">
        <v>286</v>
      </c>
      <c r="D73" s="81" t="s">
        <v>285</v>
      </c>
      <c r="E73" s="97">
        <v>520</v>
      </c>
      <c r="F73" s="78" t="s">
        <v>284</v>
      </c>
      <c r="G73" s="229"/>
      <c r="H73" s="79">
        <f t="shared" si="108"/>
        <v>1764945</v>
      </c>
      <c r="I73" s="79">
        <f t="shared" si="109"/>
        <v>1235055</v>
      </c>
      <c r="J73" s="78"/>
      <c r="K73" s="78"/>
      <c r="L73" s="78"/>
      <c r="M73" s="75">
        <f t="shared" si="110"/>
        <v>3000000</v>
      </c>
      <c r="N73" s="4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>
        <f>2000000+1000000</f>
        <v>3000000</v>
      </c>
      <c r="AI73" s="25">
        <f t="shared" si="111"/>
        <v>1</v>
      </c>
      <c r="AJ73" s="75">
        <f t="shared" si="112"/>
        <v>3000000</v>
      </c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>
        <f>+'[2]JULIO 2015'!$AD$2253</f>
        <v>3000000</v>
      </c>
      <c r="BE73" s="25">
        <f t="shared" si="91"/>
        <v>0</v>
      </c>
      <c r="BF73" s="75">
        <f t="shared" si="113"/>
        <v>0</v>
      </c>
      <c r="BG73" s="75">
        <f t="shared" si="114"/>
        <v>0</v>
      </c>
      <c r="BH73" s="75">
        <f t="shared" si="115"/>
        <v>0</v>
      </c>
      <c r="BI73" s="75"/>
      <c r="BJ73" s="75">
        <f t="shared" si="116"/>
        <v>0</v>
      </c>
      <c r="BK73" s="75"/>
      <c r="BL73" s="75">
        <f t="shared" si="117"/>
        <v>0</v>
      </c>
      <c r="BM73" s="75">
        <f t="shared" si="118"/>
        <v>0</v>
      </c>
      <c r="BN73" s="75"/>
      <c r="BO73" s="75"/>
      <c r="BP73" s="75">
        <f t="shared" si="138"/>
        <v>0</v>
      </c>
      <c r="BQ73" s="75">
        <f t="shared" si="140"/>
        <v>0</v>
      </c>
      <c r="BR73" s="75">
        <f t="shared" si="139"/>
        <v>0</v>
      </c>
      <c r="BS73" s="75">
        <f t="shared" si="139"/>
        <v>0</v>
      </c>
      <c r="BT73" s="75">
        <f t="shared" si="139"/>
        <v>0</v>
      </c>
      <c r="BU73" s="75">
        <f t="shared" si="139"/>
        <v>0</v>
      </c>
      <c r="BV73" s="75">
        <f t="shared" si="139"/>
        <v>0</v>
      </c>
      <c r="BW73" s="75">
        <f t="shared" si="139"/>
        <v>0</v>
      </c>
      <c r="BX73" s="75"/>
      <c r="BY73" s="75"/>
      <c r="BZ73" s="75">
        <f t="shared" si="120"/>
        <v>0</v>
      </c>
      <c r="CA73" s="25">
        <f t="shared" si="121"/>
        <v>0.58831500000000003</v>
      </c>
      <c r="CB73" s="75">
        <f t="shared" si="122"/>
        <v>1764945</v>
      </c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  <c r="CP73" s="75"/>
      <c r="CQ73" s="75"/>
      <c r="CR73" s="75"/>
      <c r="CS73" s="75"/>
      <c r="CT73" s="75"/>
      <c r="CU73" s="75"/>
      <c r="CV73" s="75">
        <f>+'[3]ABRIL 2015'!$H$1527</f>
        <v>1764945</v>
      </c>
      <c r="CW73" s="25">
        <f t="shared" si="123"/>
        <v>0.41168499999999997</v>
      </c>
      <c r="CX73" s="75">
        <f t="shared" si="124"/>
        <v>1235055</v>
      </c>
      <c r="CY73" s="75"/>
      <c r="CZ73" s="75"/>
      <c r="DA73" s="75"/>
      <c r="DB73" s="75">
        <f t="shared" si="125"/>
        <v>0</v>
      </c>
      <c r="DC73" s="75"/>
      <c r="DD73" s="75">
        <f t="shared" si="126"/>
        <v>0</v>
      </c>
      <c r="DE73" s="75">
        <f t="shared" si="127"/>
        <v>0</v>
      </c>
      <c r="DF73" s="75"/>
      <c r="DG73" s="75">
        <f t="shared" si="128"/>
        <v>0</v>
      </c>
      <c r="DH73" s="75">
        <f t="shared" si="129"/>
        <v>0</v>
      </c>
      <c r="DI73" s="75"/>
      <c r="DJ73" s="75">
        <f t="shared" si="130"/>
        <v>0</v>
      </c>
      <c r="DK73" s="75">
        <f t="shared" si="131"/>
        <v>0</v>
      </c>
      <c r="DL73" s="75">
        <f t="shared" si="132"/>
        <v>0</v>
      </c>
      <c r="DM73" s="75">
        <f t="shared" si="133"/>
        <v>0</v>
      </c>
      <c r="DN73" s="75">
        <f t="shared" si="134"/>
        <v>0</v>
      </c>
      <c r="DO73" s="75">
        <f t="shared" si="135"/>
        <v>0</v>
      </c>
      <c r="DP73" s="75">
        <f t="shared" si="136"/>
        <v>0</v>
      </c>
      <c r="DQ73" s="75"/>
      <c r="DR73" s="75">
        <f t="shared" si="137"/>
        <v>1235055</v>
      </c>
    </row>
    <row r="74" spans="1:122" ht="37.5" customHeight="1" x14ac:dyDescent="0.25">
      <c r="A74" s="242"/>
      <c r="B74" s="81" t="s">
        <v>283</v>
      </c>
      <c r="C74" s="82" t="s">
        <v>282</v>
      </c>
      <c r="D74" s="81" t="s">
        <v>281</v>
      </c>
      <c r="E74" s="97">
        <v>520</v>
      </c>
      <c r="F74" s="78" t="s">
        <v>214</v>
      </c>
      <c r="G74" s="227">
        <v>100000000</v>
      </c>
      <c r="H74" s="79">
        <f t="shared" si="108"/>
        <v>0</v>
      </c>
      <c r="I74" s="79">
        <f t="shared" si="109"/>
        <v>25000000</v>
      </c>
      <c r="J74" s="78"/>
      <c r="K74" s="78"/>
      <c r="L74" s="78"/>
      <c r="M74" s="75">
        <f t="shared" si="110"/>
        <v>25000000</v>
      </c>
      <c r="N74" s="45"/>
      <c r="O74" s="75"/>
      <c r="P74" s="75"/>
      <c r="Q74" s="75"/>
      <c r="R74" s="75"/>
      <c r="S74" s="75"/>
      <c r="T74" s="75">
        <f>50000000-25000000</f>
        <v>25000000</v>
      </c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I74" s="25">
        <f t="shared" si="111"/>
        <v>0</v>
      </c>
      <c r="AJ74" s="75">
        <f t="shared" si="112"/>
        <v>0</v>
      </c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25">
        <f t="shared" si="91"/>
        <v>1</v>
      </c>
      <c r="BF74" s="75">
        <f t="shared" si="113"/>
        <v>25000000</v>
      </c>
      <c r="BG74" s="75">
        <f t="shared" si="114"/>
        <v>0</v>
      </c>
      <c r="BH74" s="75">
        <f t="shared" si="115"/>
        <v>0</v>
      </c>
      <c r="BI74" s="75"/>
      <c r="BJ74" s="75">
        <f t="shared" si="116"/>
        <v>0</v>
      </c>
      <c r="BK74" s="75"/>
      <c r="BL74" s="75">
        <f t="shared" si="117"/>
        <v>0</v>
      </c>
      <c r="BM74" s="75">
        <f t="shared" si="118"/>
        <v>25000000</v>
      </c>
      <c r="BN74" s="75"/>
      <c r="BO74" s="75">
        <f>+V74-AS74</f>
        <v>0</v>
      </c>
      <c r="BP74" s="75">
        <f t="shared" si="138"/>
        <v>0</v>
      </c>
      <c r="BQ74" s="75">
        <f t="shared" si="140"/>
        <v>0</v>
      </c>
      <c r="BR74" s="75">
        <f t="shared" si="139"/>
        <v>0</v>
      </c>
      <c r="BS74" s="75">
        <f t="shared" si="139"/>
        <v>0</v>
      </c>
      <c r="BT74" s="75">
        <f t="shared" si="139"/>
        <v>0</v>
      </c>
      <c r="BU74" s="75">
        <f t="shared" si="139"/>
        <v>0</v>
      </c>
      <c r="BV74" s="75">
        <f t="shared" si="139"/>
        <v>0</v>
      </c>
      <c r="BW74" s="75">
        <f t="shared" si="139"/>
        <v>0</v>
      </c>
      <c r="BX74" s="75">
        <f>+AE74-BB74</f>
        <v>0</v>
      </c>
      <c r="BY74" s="75"/>
      <c r="BZ74" s="75">
        <f t="shared" si="120"/>
        <v>0</v>
      </c>
      <c r="CA74" s="25">
        <f t="shared" si="121"/>
        <v>0</v>
      </c>
      <c r="CB74" s="75">
        <f t="shared" si="122"/>
        <v>0</v>
      </c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25">
        <f t="shared" si="123"/>
        <v>1</v>
      </c>
      <c r="CX74" s="75">
        <f t="shared" si="124"/>
        <v>25000000</v>
      </c>
      <c r="CY74" s="75"/>
      <c r="CZ74" s="75"/>
      <c r="DA74" s="75"/>
      <c r="DB74" s="75">
        <f t="shared" si="125"/>
        <v>0</v>
      </c>
      <c r="DC74" s="75"/>
      <c r="DD74" s="75">
        <f t="shared" si="126"/>
        <v>0</v>
      </c>
      <c r="DE74" s="75">
        <f t="shared" si="127"/>
        <v>25000000</v>
      </c>
      <c r="DF74" s="75"/>
      <c r="DG74" s="75">
        <f t="shared" si="128"/>
        <v>0</v>
      </c>
      <c r="DH74" s="75">
        <f t="shared" si="129"/>
        <v>0</v>
      </c>
      <c r="DI74" s="75"/>
      <c r="DJ74" s="75">
        <f t="shared" si="130"/>
        <v>0</v>
      </c>
      <c r="DK74" s="75">
        <f t="shared" si="131"/>
        <v>0</v>
      </c>
      <c r="DL74" s="75">
        <f t="shared" si="132"/>
        <v>0</v>
      </c>
      <c r="DM74" s="75">
        <f t="shared" si="133"/>
        <v>0</v>
      </c>
      <c r="DN74" s="75">
        <f t="shared" si="134"/>
        <v>0</v>
      </c>
      <c r="DO74" s="75">
        <f t="shared" si="135"/>
        <v>0</v>
      </c>
      <c r="DP74" s="75">
        <f t="shared" si="136"/>
        <v>0</v>
      </c>
      <c r="DQ74" s="75"/>
      <c r="DR74" s="75">
        <f t="shared" si="137"/>
        <v>0</v>
      </c>
    </row>
    <row r="75" spans="1:122" ht="34.5" customHeight="1" x14ac:dyDescent="0.25">
      <c r="A75" s="242"/>
      <c r="B75" s="81"/>
      <c r="C75" s="82" t="s">
        <v>280</v>
      </c>
      <c r="D75" s="81" t="s">
        <v>279</v>
      </c>
      <c r="E75" s="97">
        <v>520</v>
      </c>
      <c r="F75" s="78" t="s">
        <v>214</v>
      </c>
      <c r="G75" s="228"/>
      <c r="H75" s="79">
        <f t="shared" si="108"/>
        <v>25001010</v>
      </c>
      <c r="I75" s="79">
        <f t="shared" si="109"/>
        <v>4998990</v>
      </c>
      <c r="J75" s="78"/>
      <c r="K75" s="78"/>
      <c r="L75" s="78"/>
      <c r="M75" s="75">
        <f t="shared" si="110"/>
        <v>30000000</v>
      </c>
      <c r="N75" s="45"/>
      <c r="O75" s="75"/>
      <c r="P75" s="75"/>
      <c r="Q75" s="75"/>
      <c r="R75" s="75"/>
      <c r="S75" s="75">
        <v>20000000</v>
      </c>
      <c r="T75" s="75"/>
      <c r="U75" s="75"/>
      <c r="V75" s="75"/>
      <c r="W75" s="75"/>
      <c r="X75" s="75"/>
      <c r="Y75" s="75"/>
      <c r="Z75" s="75"/>
      <c r="AA75" s="75"/>
      <c r="AB75" s="75">
        <v>10000000</v>
      </c>
      <c r="AC75" s="75"/>
      <c r="AD75" s="75"/>
      <c r="AE75" s="75"/>
      <c r="AF75" s="75"/>
      <c r="AG75" s="75"/>
      <c r="AI75" s="25">
        <f t="shared" si="111"/>
        <v>1</v>
      </c>
      <c r="AJ75" s="75">
        <f t="shared" si="112"/>
        <v>30000000</v>
      </c>
      <c r="AK75" s="75"/>
      <c r="AL75" s="75"/>
      <c r="AM75" s="75"/>
      <c r="AN75" s="75"/>
      <c r="AO75" s="75"/>
      <c r="AP75" s="75">
        <f>+'[9]ENERO 2015'!$L$922</f>
        <v>20000000</v>
      </c>
      <c r="AQ75" s="75"/>
      <c r="AR75" s="75"/>
      <c r="AS75" s="75"/>
      <c r="AT75" s="75"/>
      <c r="AU75" s="75"/>
      <c r="AV75" s="75"/>
      <c r="AW75" s="75"/>
      <c r="AX75" s="75"/>
      <c r="AY75" s="75">
        <f>+'[5]FEBRERO 2015'!$W$1134</f>
        <v>10000000</v>
      </c>
      <c r="AZ75" s="75"/>
      <c r="BA75" s="75"/>
      <c r="BB75" s="75"/>
      <c r="BC75" s="75"/>
      <c r="BD75" s="75"/>
      <c r="BE75" s="25">
        <f t="shared" si="91"/>
        <v>0</v>
      </c>
      <c r="BF75" s="75">
        <f t="shared" si="113"/>
        <v>0</v>
      </c>
      <c r="BG75" s="75">
        <f t="shared" si="114"/>
        <v>0</v>
      </c>
      <c r="BH75" s="75">
        <f t="shared" si="115"/>
        <v>0</v>
      </c>
      <c r="BI75" s="75"/>
      <c r="BJ75" s="75">
        <f t="shared" si="116"/>
        <v>0</v>
      </c>
      <c r="BK75" s="75"/>
      <c r="BL75" s="75">
        <f t="shared" si="117"/>
        <v>0</v>
      </c>
      <c r="BM75" s="75">
        <f t="shared" si="118"/>
        <v>0</v>
      </c>
      <c r="BN75" s="75"/>
      <c r="BO75" s="75">
        <f>+V75-AS75</f>
        <v>0</v>
      </c>
      <c r="BP75" s="75">
        <f t="shared" si="138"/>
        <v>0</v>
      </c>
      <c r="BQ75" s="75">
        <f t="shared" si="140"/>
        <v>0</v>
      </c>
      <c r="BR75" s="75">
        <f t="shared" si="139"/>
        <v>0</v>
      </c>
      <c r="BS75" s="75">
        <f t="shared" si="139"/>
        <v>0</v>
      </c>
      <c r="BT75" s="75">
        <f t="shared" si="139"/>
        <v>0</v>
      </c>
      <c r="BU75" s="75">
        <f t="shared" si="139"/>
        <v>0</v>
      </c>
      <c r="BV75" s="75">
        <f t="shared" si="139"/>
        <v>0</v>
      </c>
      <c r="BW75" s="75">
        <f t="shared" si="139"/>
        <v>0</v>
      </c>
      <c r="BX75" s="75">
        <f>+AE75-BB75</f>
        <v>0</v>
      </c>
      <c r="BY75" s="75"/>
      <c r="BZ75" s="75">
        <f t="shared" si="120"/>
        <v>0</v>
      </c>
      <c r="CA75" s="25">
        <f t="shared" si="121"/>
        <v>0.83336699999999997</v>
      </c>
      <c r="CB75" s="75">
        <f t="shared" si="122"/>
        <v>25001010</v>
      </c>
      <c r="CC75" s="75"/>
      <c r="CD75" s="75"/>
      <c r="CE75" s="75"/>
      <c r="CF75" s="75"/>
      <c r="CG75" s="75"/>
      <c r="CH75" s="75">
        <f>+'[3]ABRIL 2015'!$H$1544</f>
        <v>19926000</v>
      </c>
      <c r="CI75" s="75"/>
      <c r="CJ75" s="75"/>
      <c r="CK75" s="75"/>
      <c r="CL75" s="75"/>
      <c r="CM75" s="75"/>
      <c r="CN75" s="75"/>
      <c r="CO75" s="75"/>
      <c r="CP75" s="75"/>
      <c r="CQ75" s="75">
        <f>+'[1]AGOSTO 2015'!$H$2545</f>
        <v>5075010</v>
      </c>
      <c r="CR75" s="75"/>
      <c r="CS75" s="75"/>
      <c r="CT75" s="75"/>
      <c r="CU75" s="75"/>
      <c r="CV75" s="75"/>
      <c r="CW75" s="25">
        <f t="shared" si="123"/>
        <v>0.16663300000000003</v>
      </c>
      <c r="CX75" s="75">
        <f t="shared" si="124"/>
        <v>4998990</v>
      </c>
      <c r="CY75" s="75"/>
      <c r="CZ75" s="75"/>
      <c r="DA75" s="75"/>
      <c r="DB75" s="75">
        <f t="shared" si="125"/>
        <v>0</v>
      </c>
      <c r="DC75" s="75"/>
      <c r="DD75" s="75">
        <f t="shared" si="126"/>
        <v>74000</v>
      </c>
      <c r="DE75" s="75">
        <f t="shared" si="127"/>
        <v>0</v>
      </c>
      <c r="DF75" s="75"/>
      <c r="DG75" s="75">
        <f t="shared" si="128"/>
        <v>0</v>
      </c>
      <c r="DH75" s="75">
        <f t="shared" si="129"/>
        <v>0</v>
      </c>
      <c r="DI75" s="75"/>
      <c r="DJ75" s="75">
        <f t="shared" si="130"/>
        <v>0</v>
      </c>
      <c r="DK75" s="75">
        <f t="shared" si="131"/>
        <v>0</v>
      </c>
      <c r="DL75" s="75">
        <f t="shared" si="132"/>
        <v>0</v>
      </c>
      <c r="DM75" s="75">
        <f t="shared" si="133"/>
        <v>4924990</v>
      </c>
      <c r="DN75" s="75">
        <f t="shared" si="134"/>
        <v>0</v>
      </c>
      <c r="DO75" s="75">
        <f t="shared" si="135"/>
        <v>0</v>
      </c>
      <c r="DP75" s="75">
        <f t="shared" si="136"/>
        <v>0</v>
      </c>
      <c r="DQ75" s="75"/>
      <c r="DR75" s="75">
        <f t="shared" si="137"/>
        <v>0</v>
      </c>
    </row>
    <row r="76" spans="1:122" ht="47.25" customHeight="1" x14ac:dyDescent="0.25">
      <c r="A76" s="242"/>
      <c r="B76" s="81"/>
      <c r="C76" s="82" t="s">
        <v>278</v>
      </c>
      <c r="D76" s="81" t="s">
        <v>277</v>
      </c>
      <c r="E76" s="97">
        <v>520</v>
      </c>
      <c r="F76" s="78" t="s">
        <v>214</v>
      </c>
      <c r="G76" s="229"/>
      <c r="H76" s="79">
        <f t="shared" si="108"/>
        <v>12228000</v>
      </c>
      <c r="I76" s="79">
        <f t="shared" si="109"/>
        <v>17772000</v>
      </c>
      <c r="J76" s="78"/>
      <c r="K76" s="78"/>
      <c r="L76" s="78"/>
      <c r="M76" s="75">
        <f t="shared" si="110"/>
        <v>30000000</v>
      </c>
      <c r="N76" s="45"/>
      <c r="O76" s="75"/>
      <c r="P76" s="75"/>
      <c r="Q76" s="75"/>
      <c r="R76" s="75"/>
      <c r="S76" s="75">
        <v>30000000</v>
      </c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I76" s="25">
        <f t="shared" si="111"/>
        <v>1</v>
      </c>
      <c r="AJ76" s="75">
        <f t="shared" si="112"/>
        <v>30000000</v>
      </c>
      <c r="AK76" s="75"/>
      <c r="AL76" s="75"/>
      <c r="AM76" s="75"/>
      <c r="AN76" s="75"/>
      <c r="AO76" s="75"/>
      <c r="AP76" s="75">
        <f>+'[8]FEBRERO 2015'!$N$1070</f>
        <v>30000000</v>
      </c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25">
        <f t="shared" si="91"/>
        <v>0</v>
      </c>
      <c r="BF76" s="75">
        <f t="shared" si="113"/>
        <v>0</v>
      </c>
      <c r="BG76" s="75">
        <f t="shared" si="114"/>
        <v>0</v>
      </c>
      <c r="BH76" s="75">
        <f t="shared" si="115"/>
        <v>0</v>
      </c>
      <c r="BI76" s="75"/>
      <c r="BJ76" s="75">
        <f t="shared" si="116"/>
        <v>0</v>
      </c>
      <c r="BK76" s="75"/>
      <c r="BL76" s="75">
        <f t="shared" si="117"/>
        <v>0</v>
      </c>
      <c r="BM76" s="75">
        <f t="shared" si="118"/>
        <v>0</v>
      </c>
      <c r="BN76" s="75"/>
      <c r="BO76" s="75">
        <f>V76-AS76</f>
        <v>0</v>
      </c>
      <c r="BP76" s="75">
        <f t="shared" si="138"/>
        <v>0</v>
      </c>
      <c r="BQ76" s="75">
        <f t="shared" si="140"/>
        <v>0</v>
      </c>
      <c r="BR76" s="75">
        <f t="shared" ref="BR76:BR102" si="141">+Y76-AV76</f>
        <v>0</v>
      </c>
      <c r="BS76" s="75">
        <f t="shared" ref="BS76:BS102" si="142">+Z76-AW76</f>
        <v>0</v>
      </c>
      <c r="BT76" s="75">
        <f t="shared" ref="BT76:BT102" si="143">+AA76-AX76</f>
        <v>0</v>
      </c>
      <c r="BU76" s="75">
        <f>AB76-AY76</f>
        <v>0</v>
      </c>
      <c r="BV76" s="75">
        <f t="shared" ref="BV76:BV102" si="144">+AC76-AZ76</f>
        <v>0</v>
      </c>
      <c r="BW76" s="75">
        <f t="shared" ref="BW76:BW102" si="145">+AD76-BA76</f>
        <v>0</v>
      </c>
      <c r="BX76" s="75">
        <f>+AE76-BB76</f>
        <v>0</v>
      </c>
      <c r="BY76" s="75"/>
      <c r="BZ76" s="75">
        <f t="shared" si="120"/>
        <v>0</v>
      </c>
      <c r="CA76" s="25">
        <f t="shared" si="121"/>
        <v>0.40760000000000002</v>
      </c>
      <c r="CB76" s="75">
        <f t="shared" si="122"/>
        <v>12228000</v>
      </c>
      <c r="CC76" s="75"/>
      <c r="CD76" s="75"/>
      <c r="CE76" s="75"/>
      <c r="CF76" s="75"/>
      <c r="CG76" s="75"/>
      <c r="CH76" s="75">
        <f>+'[6]JUNIO 2015'!$H$1939</f>
        <v>12228000</v>
      </c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25">
        <f t="shared" si="123"/>
        <v>0.59240000000000004</v>
      </c>
      <c r="CX76" s="75">
        <f t="shared" si="124"/>
        <v>17772000</v>
      </c>
      <c r="CY76" s="75"/>
      <c r="CZ76" s="75"/>
      <c r="DA76" s="75"/>
      <c r="DB76" s="75">
        <f t="shared" si="125"/>
        <v>0</v>
      </c>
      <c r="DC76" s="75"/>
      <c r="DD76" s="75">
        <f t="shared" si="126"/>
        <v>17772000</v>
      </c>
      <c r="DE76" s="75">
        <f t="shared" si="127"/>
        <v>0</v>
      </c>
      <c r="DF76" s="75"/>
      <c r="DG76" s="75">
        <f t="shared" si="128"/>
        <v>0</v>
      </c>
      <c r="DH76" s="75">
        <f t="shared" si="129"/>
        <v>0</v>
      </c>
      <c r="DI76" s="75"/>
      <c r="DJ76" s="75">
        <f t="shared" si="130"/>
        <v>0</v>
      </c>
      <c r="DK76" s="75">
        <f t="shared" si="131"/>
        <v>0</v>
      </c>
      <c r="DL76" s="75">
        <f t="shared" si="132"/>
        <v>0</v>
      </c>
      <c r="DM76" s="75">
        <f t="shared" si="133"/>
        <v>0</v>
      </c>
      <c r="DN76" s="75">
        <f t="shared" si="134"/>
        <v>0</v>
      </c>
      <c r="DO76" s="75">
        <f t="shared" si="135"/>
        <v>0</v>
      </c>
      <c r="DP76" s="75">
        <f t="shared" si="136"/>
        <v>0</v>
      </c>
      <c r="DQ76" s="75"/>
      <c r="DR76" s="75">
        <f t="shared" si="137"/>
        <v>0</v>
      </c>
    </row>
    <row r="77" spans="1:122" ht="30" customHeight="1" x14ac:dyDescent="0.25">
      <c r="A77" s="242"/>
      <c r="B77" s="81" t="s">
        <v>276</v>
      </c>
      <c r="C77" s="82" t="s">
        <v>275</v>
      </c>
      <c r="D77" s="81" t="s">
        <v>274</v>
      </c>
      <c r="E77" s="97">
        <v>520</v>
      </c>
      <c r="F77" s="78" t="s">
        <v>273</v>
      </c>
      <c r="G77" s="227">
        <v>1710000000</v>
      </c>
      <c r="H77" s="79">
        <f t="shared" si="108"/>
        <v>0</v>
      </c>
      <c r="I77" s="79">
        <f t="shared" si="109"/>
        <v>2898900</v>
      </c>
      <c r="J77" s="78"/>
      <c r="K77" s="78"/>
      <c r="L77" s="78"/>
      <c r="M77" s="75">
        <f t="shared" si="110"/>
        <v>2898900</v>
      </c>
      <c r="N77" s="45"/>
      <c r="O77" s="45"/>
      <c r="P77" s="45"/>
      <c r="Q77" s="45"/>
      <c r="R77" s="45"/>
      <c r="S77" s="4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>
        <f>2500000+398900</f>
        <v>2898900</v>
      </c>
      <c r="AI77" s="25">
        <f t="shared" si="111"/>
        <v>1</v>
      </c>
      <c r="AJ77" s="75">
        <f t="shared" si="112"/>
        <v>2898900</v>
      </c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>
        <f>+'[2]JULIO 2015'!$AD$2291</f>
        <v>2898900</v>
      </c>
      <c r="BE77" s="25">
        <f t="shared" si="91"/>
        <v>0</v>
      </c>
      <c r="BF77" s="75">
        <f t="shared" si="113"/>
        <v>0</v>
      </c>
      <c r="BG77" s="75">
        <f t="shared" si="114"/>
        <v>0</v>
      </c>
      <c r="BH77" s="75">
        <f t="shared" si="115"/>
        <v>0</v>
      </c>
      <c r="BI77" s="75"/>
      <c r="BJ77" s="75">
        <f t="shared" si="116"/>
        <v>0</v>
      </c>
      <c r="BK77" s="75"/>
      <c r="BL77" s="75">
        <f t="shared" si="117"/>
        <v>0</v>
      </c>
      <c r="BM77" s="75">
        <f t="shared" si="118"/>
        <v>0</v>
      </c>
      <c r="BN77" s="75"/>
      <c r="BO77" s="75">
        <f>V77-AS77</f>
        <v>0</v>
      </c>
      <c r="BP77" s="75">
        <f t="shared" si="138"/>
        <v>0</v>
      </c>
      <c r="BQ77" s="75">
        <f t="shared" si="140"/>
        <v>0</v>
      </c>
      <c r="BR77" s="75">
        <f t="shared" si="141"/>
        <v>0</v>
      </c>
      <c r="BS77" s="75">
        <f t="shared" si="142"/>
        <v>0</v>
      </c>
      <c r="BT77" s="75">
        <f t="shared" si="143"/>
        <v>0</v>
      </c>
      <c r="BU77" s="75">
        <f>AB77-AY77</f>
        <v>0</v>
      </c>
      <c r="BV77" s="75">
        <f t="shared" si="144"/>
        <v>0</v>
      </c>
      <c r="BW77" s="75">
        <f t="shared" si="145"/>
        <v>0</v>
      </c>
      <c r="BX77" s="75"/>
      <c r="BY77" s="75"/>
      <c r="BZ77" s="75">
        <f t="shared" si="120"/>
        <v>0</v>
      </c>
      <c r="CA77" s="25">
        <f t="shared" si="121"/>
        <v>0</v>
      </c>
      <c r="CB77" s="75">
        <f t="shared" si="122"/>
        <v>0</v>
      </c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25">
        <f t="shared" si="123"/>
        <v>1</v>
      </c>
      <c r="CX77" s="75">
        <f t="shared" si="124"/>
        <v>2898900</v>
      </c>
      <c r="CY77" s="75"/>
      <c r="CZ77" s="75"/>
      <c r="DA77" s="75"/>
      <c r="DB77" s="75">
        <f t="shared" si="125"/>
        <v>0</v>
      </c>
      <c r="DC77" s="75"/>
      <c r="DD77" s="75">
        <f t="shared" si="126"/>
        <v>0</v>
      </c>
      <c r="DE77" s="75">
        <f t="shared" si="127"/>
        <v>0</v>
      </c>
      <c r="DF77" s="75"/>
      <c r="DG77" s="75">
        <f t="shared" si="128"/>
        <v>0</v>
      </c>
      <c r="DH77" s="75">
        <f t="shared" si="129"/>
        <v>0</v>
      </c>
      <c r="DI77" s="75"/>
      <c r="DJ77" s="75">
        <f t="shared" si="130"/>
        <v>0</v>
      </c>
      <c r="DK77" s="75">
        <f t="shared" si="131"/>
        <v>0</v>
      </c>
      <c r="DL77" s="75">
        <f t="shared" si="132"/>
        <v>0</v>
      </c>
      <c r="DM77" s="75">
        <f t="shared" si="133"/>
        <v>0</v>
      </c>
      <c r="DN77" s="75">
        <f t="shared" si="134"/>
        <v>0</v>
      </c>
      <c r="DO77" s="75">
        <f t="shared" si="135"/>
        <v>0</v>
      </c>
      <c r="DP77" s="75">
        <f t="shared" si="136"/>
        <v>0</v>
      </c>
      <c r="DQ77" s="75"/>
      <c r="DR77" s="75">
        <f t="shared" si="137"/>
        <v>2898900</v>
      </c>
    </row>
    <row r="78" spans="1:122" ht="24.75" customHeight="1" x14ac:dyDescent="0.25">
      <c r="A78" s="242"/>
      <c r="B78" s="81"/>
      <c r="C78" s="82" t="s">
        <v>272</v>
      </c>
      <c r="D78" s="81" t="s">
        <v>271</v>
      </c>
      <c r="E78" s="97">
        <v>520</v>
      </c>
      <c r="F78" s="78" t="s">
        <v>270</v>
      </c>
      <c r="G78" s="228"/>
      <c r="H78" s="79">
        <f t="shared" si="108"/>
        <v>247167734</v>
      </c>
      <c r="I78" s="79">
        <f t="shared" si="109"/>
        <v>27832266</v>
      </c>
      <c r="J78" s="78"/>
      <c r="K78" s="78"/>
      <c r="L78" s="78"/>
      <c r="M78" s="75">
        <f t="shared" si="110"/>
        <v>275000000</v>
      </c>
      <c r="N78" s="45"/>
      <c r="O78" s="115">
        <f>300000000-300000000</f>
        <v>0</v>
      </c>
      <c r="P78" s="115"/>
      <c r="Q78" s="45"/>
      <c r="R78" s="45"/>
      <c r="S78" s="45"/>
      <c r="T78" s="75">
        <f>300000000-25000000</f>
        <v>275000000</v>
      </c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I78" s="25">
        <f t="shared" si="111"/>
        <v>1</v>
      </c>
      <c r="AJ78" s="75">
        <f t="shared" si="112"/>
        <v>275000000</v>
      </c>
      <c r="AK78" s="75"/>
      <c r="AL78" s="75"/>
      <c r="AM78" s="75"/>
      <c r="AN78" s="75"/>
      <c r="AO78" s="75"/>
      <c r="AP78" s="75"/>
      <c r="AQ78" s="75">
        <f>+'[5]FEBRERO 2015'!$O$1154-25000000</f>
        <v>275000000</v>
      </c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25">
        <f t="shared" si="91"/>
        <v>0</v>
      </c>
      <c r="BF78" s="75">
        <f t="shared" si="113"/>
        <v>0</v>
      </c>
      <c r="BG78" s="75">
        <f t="shared" si="114"/>
        <v>0</v>
      </c>
      <c r="BH78" s="75">
        <f t="shared" si="115"/>
        <v>0</v>
      </c>
      <c r="BI78" s="75"/>
      <c r="BJ78" s="75">
        <f t="shared" si="116"/>
        <v>0</v>
      </c>
      <c r="BK78" s="75"/>
      <c r="BL78" s="75">
        <f t="shared" si="117"/>
        <v>0</v>
      </c>
      <c r="BM78" s="75">
        <f t="shared" si="118"/>
        <v>0</v>
      </c>
      <c r="BN78" s="75"/>
      <c r="BO78" s="75">
        <f>V78-AS78</f>
        <v>0</v>
      </c>
      <c r="BP78" s="75">
        <f t="shared" si="138"/>
        <v>0</v>
      </c>
      <c r="BQ78" s="75">
        <f t="shared" si="140"/>
        <v>0</v>
      </c>
      <c r="BR78" s="75">
        <f t="shared" si="141"/>
        <v>0</v>
      </c>
      <c r="BS78" s="75">
        <f t="shared" si="142"/>
        <v>0</v>
      </c>
      <c r="BT78" s="75">
        <f t="shared" si="143"/>
        <v>0</v>
      </c>
      <c r="BU78" s="75">
        <f>AB78-AY78</f>
        <v>0</v>
      </c>
      <c r="BV78" s="75">
        <f t="shared" si="144"/>
        <v>0</v>
      </c>
      <c r="BW78" s="75">
        <f t="shared" si="145"/>
        <v>0</v>
      </c>
      <c r="BX78" s="75"/>
      <c r="BY78" s="75"/>
      <c r="BZ78" s="75">
        <f t="shared" si="120"/>
        <v>0</v>
      </c>
      <c r="CA78" s="25">
        <f t="shared" si="121"/>
        <v>0.89879176000000005</v>
      </c>
      <c r="CB78" s="75">
        <f t="shared" si="122"/>
        <v>247167734</v>
      </c>
      <c r="CC78" s="75"/>
      <c r="CD78" s="75"/>
      <c r="CE78" s="75"/>
      <c r="CF78" s="75"/>
      <c r="CG78" s="75"/>
      <c r="CH78" s="75"/>
      <c r="CI78" s="75">
        <f>+'[1]AGOSTO 2015'!$H$2570</f>
        <v>247167734</v>
      </c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25">
        <f t="shared" si="123"/>
        <v>0.10120823999999995</v>
      </c>
      <c r="CX78" s="75">
        <f t="shared" si="124"/>
        <v>27832266</v>
      </c>
      <c r="CY78" s="75"/>
      <c r="CZ78" s="75">
        <f>O78-CD78</f>
        <v>0</v>
      </c>
      <c r="DA78" s="75">
        <f>P78-CE78</f>
        <v>0</v>
      </c>
      <c r="DB78" s="75">
        <f t="shared" si="125"/>
        <v>0</v>
      </c>
      <c r="DC78" s="75"/>
      <c r="DD78" s="75">
        <f t="shared" si="126"/>
        <v>0</v>
      </c>
      <c r="DE78" s="75">
        <f t="shared" si="127"/>
        <v>27832266</v>
      </c>
      <c r="DF78" s="75"/>
      <c r="DG78" s="75">
        <f t="shared" si="128"/>
        <v>0</v>
      </c>
      <c r="DH78" s="75">
        <f t="shared" si="129"/>
        <v>0</v>
      </c>
      <c r="DI78" s="75"/>
      <c r="DJ78" s="75">
        <f t="shared" si="130"/>
        <v>0</v>
      </c>
      <c r="DK78" s="75">
        <f t="shared" si="131"/>
        <v>0</v>
      </c>
      <c r="DL78" s="75">
        <f t="shared" si="132"/>
        <v>0</v>
      </c>
      <c r="DM78" s="75">
        <f t="shared" si="133"/>
        <v>0</v>
      </c>
      <c r="DN78" s="75">
        <f t="shared" si="134"/>
        <v>0</v>
      </c>
      <c r="DO78" s="75">
        <f t="shared" si="135"/>
        <v>0</v>
      </c>
      <c r="DP78" s="75">
        <f t="shared" si="136"/>
        <v>0</v>
      </c>
      <c r="DQ78" s="75"/>
      <c r="DR78" s="75">
        <f t="shared" si="137"/>
        <v>0</v>
      </c>
    </row>
    <row r="79" spans="1:122" ht="35.25" customHeight="1" x14ac:dyDescent="0.25">
      <c r="A79" s="242"/>
      <c r="B79" s="81"/>
      <c r="C79" s="82" t="s">
        <v>269</v>
      </c>
      <c r="D79" s="81" t="s">
        <v>268</v>
      </c>
      <c r="E79" s="97">
        <v>520</v>
      </c>
      <c r="F79" s="78" t="s">
        <v>267</v>
      </c>
      <c r="G79" s="228"/>
      <c r="H79" s="79">
        <f t="shared" si="108"/>
        <v>770398</v>
      </c>
      <c r="I79" s="79">
        <f t="shared" si="109"/>
        <v>13396003</v>
      </c>
      <c r="J79" s="78"/>
      <c r="K79" s="78"/>
      <c r="L79" s="78"/>
      <c r="M79" s="75">
        <f t="shared" si="110"/>
        <v>14166401</v>
      </c>
      <c r="N79" s="45"/>
      <c r="O79" s="45"/>
      <c r="P79" s="45"/>
      <c r="Q79" s="45"/>
      <c r="R79" s="45"/>
      <c r="S79" s="4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>
        <f>5000000+3000000+6166401</f>
        <v>14166401</v>
      </c>
      <c r="AI79" s="25">
        <f t="shared" si="111"/>
        <v>0.3529477952798315</v>
      </c>
      <c r="AJ79" s="75">
        <f t="shared" si="112"/>
        <v>5000000</v>
      </c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>
        <f>+'[8]FEBRERO 2015'!$AC$1088</f>
        <v>5000000</v>
      </c>
      <c r="BE79" s="25">
        <f t="shared" si="91"/>
        <v>0.64705220472016856</v>
      </c>
      <c r="BF79" s="75">
        <f t="shared" si="113"/>
        <v>9166401</v>
      </c>
      <c r="BG79" s="75">
        <f t="shared" si="114"/>
        <v>0</v>
      </c>
      <c r="BH79" s="75">
        <f t="shared" si="115"/>
        <v>0</v>
      </c>
      <c r="BI79" s="75"/>
      <c r="BJ79" s="75">
        <f t="shared" si="116"/>
        <v>0</v>
      </c>
      <c r="BK79" s="75"/>
      <c r="BL79" s="75">
        <f t="shared" si="117"/>
        <v>0</v>
      </c>
      <c r="BM79" s="75">
        <f t="shared" si="118"/>
        <v>0</v>
      </c>
      <c r="BN79" s="75"/>
      <c r="BO79" s="75">
        <f>V79-AS79</f>
        <v>0</v>
      </c>
      <c r="BP79" s="75">
        <f t="shared" si="138"/>
        <v>0</v>
      </c>
      <c r="BQ79" s="75">
        <f t="shared" si="140"/>
        <v>0</v>
      </c>
      <c r="BR79" s="75">
        <f t="shared" si="141"/>
        <v>0</v>
      </c>
      <c r="BS79" s="75">
        <f t="shared" si="142"/>
        <v>0</v>
      </c>
      <c r="BT79" s="75">
        <f t="shared" si="143"/>
        <v>0</v>
      </c>
      <c r="BU79" s="75">
        <f>AB79-AY79</f>
        <v>0</v>
      </c>
      <c r="BV79" s="75">
        <f t="shared" si="144"/>
        <v>0</v>
      </c>
      <c r="BW79" s="75">
        <f t="shared" si="145"/>
        <v>0</v>
      </c>
      <c r="BX79" s="75"/>
      <c r="BY79" s="75"/>
      <c r="BZ79" s="75">
        <f t="shared" si="120"/>
        <v>9166401</v>
      </c>
      <c r="CA79" s="25">
        <f t="shared" si="121"/>
        <v>5.4382055117598325E-2</v>
      </c>
      <c r="CB79" s="75">
        <f t="shared" si="122"/>
        <v>770398</v>
      </c>
      <c r="CC79" s="75"/>
      <c r="CD79" s="75"/>
      <c r="CE79" s="75"/>
      <c r="CF79" s="75"/>
      <c r="CG79" s="75"/>
      <c r="CH79" s="75"/>
      <c r="CI79" s="75"/>
      <c r="CJ79" s="75"/>
      <c r="CK79" s="75"/>
      <c r="CL79" s="75"/>
      <c r="CM79" s="75"/>
      <c r="CN79" s="75"/>
      <c r="CO79" s="75"/>
      <c r="CP79" s="75"/>
      <c r="CQ79" s="75"/>
      <c r="CR79" s="75"/>
      <c r="CS79" s="75"/>
      <c r="CT79" s="75"/>
      <c r="CU79" s="75"/>
      <c r="CV79" s="75">
        <f>+'[8]FEBRERO 2015'!$H$1086</f>
        <v>770398</v>
      </c>
      <c r="CW79" s="25">
        <f t="shared" si="123"/>
        <v>0.9456179448824017</v>
      </c>
      <c r="CX79" s="75">
        <f t="shared" si="124"/>
        <v>13396003</v>
      </c>
      <c r="CY79" s="75"/>
      <c r="CZ79" s="75"/>
      <c r="DA79" s="75"/>
      <c r="DB79" s="75">
        <f t="shared" si="125"/>
        <v>0</v>
      </c>
      <c r="DC79" s="75"/>
      <c r="DD79" s="75">
        <f t="shared" si="126"/>
        <v>0</v>
      </c>
      <c r="DE79" s="75">
        <f t="shared" si="127"/>
        <v>0</v>
      </c>
      <c r="DF79" s="75"/>
      <c r="DG79" s="75">
        <f t="shared" si="128"/>
        <v>0</v>
      </c>
      <c r="DH79" s="75">
        <f t="shared" si="129"/>
        <v>0</v>
      </c>
      <c r="DI79" s="75"/>
      <c r="DJ79" s="75">
        <f t="shared" si="130"/>
        <v>0</v>
      </c>
      <c r="DK79" s="75">
        <f t="shared" si="131"/>
        <v>0</v>
      </c>
      <c r="DL79" s="75">
        <f t="shared" si="132"/>
        <v>0</v>
      </c>
      <c r="DM79" s="75">
        <f t="shared" si="133"/>
        <v>0</v>
      </c>
      <c r="DN79" s="75">
        <f t="shared" si="134"/>
        <v>0</v>
      </c>
      <c r="DO79" s="75">
        <f t="shared" si="135"/>
        <v>0</v>
      </c>
      <c r="DP79" s="75">
        <f t="shared" si="136"/>
        <v>0</v>
      </c>
      <c r="DQ79" s="75"/>
      <c r="DR79" s="75">
        <f t="shared" si="137"/>
        <v>13396003</v>
      </c>
    </row>
    <row r="80" spans="1:122" ht="37.5" customHeight="1" x14ac:dyDescent="0.25">
      <c r="A80" s="242"/>
      <c r="B80" s="81"/>
      <c r="C80" s="82" t="s">
        <v>266</v>
      </c>
      <c r="D80" s="81" t="s">
        <v>265</v>
      </c>
      <c r="E80" s="97">
        <v>520</v>
      </c>
      <c r="F80" s="78" t="s">
        <v>74</v>
      </c>
      <c r="G80" s="228"/>
      <c r="H80" s="79">
        <f t="shared" si="108"/>
        <v>4550000</v>
      </c>
      <c r="I80" s="79">
        <f t="shared" si="109"/>
        <v>5450000</v>
      </c>
      <c r="J80" s="78"/>
      <c r="K80" s="78"/>
      <c r="L80" s="78"/>
      <c r="M80" s="75">
        <f t="shared" si="110"/>
        <v>10000000</v>
      </c>
      <c r="N80" s="45"/>
      <c r="O80" s="45"/>
      <c r="P80" s="45"/>
      <c r="Q80" s="45"/>
      <c r="R80" s="45"/>
      <c r="S80" s="4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>
        <f>5000000+5000000</f>
        <v>10000000</v>
      </c>
      <c r="AI80" s="25">
        <f t="shared" si="111"/>
        <v>0.45500000000000002</v>
      </c>
      <c r="AJ80" s="75">
        <f t="shared" si="112"/>
        <v>4550000</v>
      </c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>
        <f>+'[1]AGOSTO 2015'!$AD$2654</f>
        <v>4550000</v>
      </c>
      <c r="BE80" s="25">
        <f t="shared" si="91"/>
        <v>0.54499999999999993</v>
      </c>
      <c r="BF80" s="75">
        <f t="shared" si="113"/>
        <v>5450000</v>
      </c>
      <c r="BG80" s="75">
        <f t="shared" si="114"/>
        <v>0</v>
      </c>
      <c r="BH80" s="75">
        <f t="shared" si="115"/>
        <v>0</v>
      </c>
      <c r="BI80" s="75"/>
      <c r="BJ80" s="75">
        <f t="shared" si="116"/>
        <v>0</v>
      </c>
      <c r="BK80" s="75"/>
      <c r="BL80" s="75">
        <f t="shared" si="117"/>
        <v>0</v>
      </c>
      <c r="BM80" s="75">
        <f t="shared" si="118"/>
        <v>0</v>
      </c>
      <c r="BN80" s="75"/>
      <c r="BO80" s="75">
        <f>V80-AS80</f>
        <v>0</v>
      </c>
      <c r="BP80" s="75">
        <f t="shared" si="138"/>
        <v>0</v>
      </c>
      <c r="BQ80" s="75"/>
      <c r="BR80" s="75">
        <f t="shared" si="141"/>
        <v>0</v>
      </c>
      <c r="BS80" s="75">
        <f t="shared" si="142"/>
        <v>0</v>
      </c>
      <c r="BT80" s="75">
        <f t="shared" si="143"/>
        <v>0</v>
      </c>
      <c r="BU80" s="75">
        <f>AB80-AY80</f>
        <v>0</v>
      </c>
      <c r="BV80" s="75">
        <f t="shared" si="144"/>
        <v>0</v>
      </c>
      <c r="BW80" s="75">
        <f t="shared" si="145"/>
        <v>0</v>
      </c>
      <c r="BX80" s="75"/>
      <c r="BY80" s="75"/>
      <c r="BZ80" s="75">
        <f t="shared" si="120"/>
        <v>5450000</v>
      </c>
      <c r="CA80" s="25">
        <f t="shared" si="121"/>
        <v>0.45500000000000002</v>
      </c>
      <c r="CB80" s="75">
        <f t="shared" si="122"/>
        <v>4550000</v>
      </c>
      <c r="CC80" s="75"/>
      <c r="CD80" s="75"/>
      <c r="CE80" s="75"/>
      <c r="CF80" s="75"/>
      <c r="CG80" s="75"/>
      <c r="CH80" s="75"/>
      <c r="CI80" s="75"/>
      <c r="CJ80" s="75"/>
      <c r="CK80" s="75"/>
      <c r="CL80" s="75"/>
      <c r="CM80" s="75"/>
      <c r="CN80" s="75"/>
      <c r="CO80" s="75"/>
      <c r="CP80" s="75"/>
      <c r="CQ80" s="75"/>
      <c r="CR80" s="75"/>
      <c r="CS80" s="75"/>
      <c r="CT80" s="75"/>
      <c r="CU80" s="75"/>
      <c r="CV80" s="75">
        <f>+'[6]JUNIO 2015'!$H$2022</f>
        <v>4550000</v>
      </c>
      <c r="CW80" s="25">
        <f t="shared" si="123"/>
        <v>0.54499999999999993</v>
      </c>
      <c r="CX80" s="75">
        <f t="shared" si="124"/>
        <v>5450000</v>
      </c>
      <c r="CY80" s="75"/>
      <c r="CZ80" s="75"/>
      <c r="DA80" s="75"/>
      <c r="DB80" s="75">
        <f t="shared" si="125"/>
        <v>0</v>
      </c>
      <c r="DC80" s="75"/>
      <c r="DD80" s="75">
        <f t="shared" si="126"/>
        <v>0</v>
      </c>
      <c r="DE80" s="75">
        <f t="shared" si="127"/>
        <v>0</v>
      </c>
      <c r="DF80" s="75"/>
      <c r="DG80" s="75">
        <f t="shared" si="128"/>
        <v>0</v>
      </c>
      <c r="DH80" s="75">
        <f t="shared" si="129"/>
        <v>0</v>
      </c>
      <c r="DI80" s="75"/>
      <c r="DJ80" s="75">
        <f t="shared" si="130"/>
        <v>0</v>
      </c>
      <c r="DK80" s="75">
        <f t="shared" si="131"/>
        <v>0</v>
      </c>
      <c r="DL80" s="75">
        <f t="shared" si="132"/>
        <v>0</v>
      </c>
      <c r="DM80" s="75">
        <f t="shared" si="133"/>
        <v>0</v>
      </c>
      <c r="DN80" s="75">
        <f t="shared" si="134"/>
        <v>0</v>
      </c>
      <c r="DO80" s="75">
        <f t="shared" si="135"/>
        <v>0</v>
      </c>
      <c r="DP80" s="75">
        <f t="shared" si="136"/>
        <v>0</v>
      </c>
      <c r="DQ80" s="75"/>
      <c r="DR80" s="75">
        <f t="shared" si="137"/>
        <v>5450000</v>
      </c>
    </row>
    <row r="81" spans="1:122" ht="26.25" customHeight="1" x14ac:dyDescent="0.25">
      <c r="A81" s="242"/>
      <c r="B81" s="81"/>
      <c r="C81" s="82" t="s">
        <v>264</v>
      </c>
      <c r="D81" s="81" t="s">
        <v>263</v>
      </c>
      <c r="E81" s="97">
        <v>520</v>
      </c>
      <c r="F81" s="78" t="s">
        <v>214</v>
      </c>
      <c r="G81" s="228"/>
      <c r="H81" s="79">
        <f t="shared" si="108"/>
        <v>189398040</v>
      </c>
      <c r="I81" s="79">
        <f t="shared" si="109"/>
        <v>160601960</v>
      </c>
      <c r="J81" s="78"/>
      <c r="K81" s="78"/>
      <c r="L81" s="78"/>
      <c r="M81" s="75">
        <f t="shared" si="110"/>
        <v>350000000</v>
      </c>
      <c r="N81" s="45"/>
      <c r="O81" s="45"/>
      <c r="P81" s="45"/>
      <c r="Q81" s="45"/>
      <c r="R81" s="45"/>
      <c r="S81" s="45"/>
      <c r="T81" s="75">
        <f>400000000-30000000-20000000</f>
        <v>350000000</v>
      </c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113"/>
      <c r="AI81" s="25">
        <f t="shared" si="111"/>
        <v>1</v>
      </c>
      <c r="AJ81" s="75">
        <f t="shared" si="112"/>
        <v>350000000</v>
      </c>
      <c r="AK81" s="75"/>
      <c r="AL81" s="75"/>
      <c r="AM81" s="75"/>
      <c r="AN81" s="75"/>
      <c r="AO81" s="75"/>
      <c r="AP81" s="75"/>
      <c r="AQ81" s="75">
        <f>+'[4]MARZO 2015'!$O$1360-20000000</f>
        <v>350000000</v>
      </c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25">
        <f t="shared" si="91"/>
        <v>0</v>
      </c>
      <c r="BF81" s="75">
        <f t="shared" si="113"/>
        <v>0</v>
      </c>
      <c r="BG81" s="75">
        <f t="shared" si="114"/>
        <v>0</v>
      </c>
      <c r="BH81" s="75">
        <f t="shared" si="115"/>
        <v>0</v>
      </c>
      <c r="BI81" s="75"/>
      <c r="BJ81" s="75">
        <f t="shared" si="116"/>
        <v>0</v>
      </c>
      <c r="BK81" s="75"/>
      <c r="BL81" s="75">
        <f t="shared" si="117"/>
        <v>0</v>
      </c>
      <c r="BM81" s="75">
        <f t="shared" si="118"/>
        <v>0</v>
      </c>
      <c r="BN81" s="75"/>
      <c r="BO81" s="75">
        <f t="shared" ref="BO81:BO102" si="146">+V81-AS81</f>
        <v>0</v>
      </c>
      <c r="BP81" s="75">
        <f t="shared" si="138"/>
        <v>0</v>
      </c>
      <c r="BQ81" s="75">
        <f>+X81-AU81</f>
        <v>0</v>
      </c>
      <c r="BR81" s="75">
        <f t="shared" si="141"/>
        <v>0</v>
      </c>
      <c r="BS81" s="75">
        <f t="shared" si="142"/>
        <v>0</v>
      </c>
      <c r="BT81" s="75">
        <f t="shared" si="143"/>
        <v>0</v>
      </c>
      <c r="BU81" s="75">
        <f t="shared" ref="BU81:BU102" si="147">+AB81-AY81</f>
        <v>0</v>
      </c>
      <c r="BV81" s="75">
        <f t="shared" si="144"/>
        <v>0</v>
      </c>
      <c r="BW81" s="75">
        <f t="shared" si="145"/>
        <v>0</v>
      </c>
      <c r="BX81" s="75">
        <f>+AE81-BB81</f>
        <v>0</v>
      </c>
      <c r="BY81" s="75"/>
      <c r="BZ81" s="75">
        <f t="shared" si="120"/>
        <v>0</v>
      </c>
      <c r="CA81" s="25">
        <f t="shared" si="121"/>
        <v>0.5411372571428571</v>
      </c>
      <c r="CB81" s="75">
        <f t="shared" si="122"/>
        <v>189398040</v>
      </c>
      <c r="CC81" s="75"/>
      <c r="CD81" s="75"/>
      <c r="CE81" s="75"/>
      <c r="CF81" s="75"/>
      <c r="CG81" s="75"/>
      <c r="CH81" s="75"/>
      <c r="CI81" s="75">
        <f>+'[1]AGOSTO 2015'!$H$2661</f>
        <v>189398040</v>
      </c>
      <c r="CJ81" s="75"/>
      <c r="CK81" s="75"/>
      <c r="CL81" s="75"/>
      <c r="CM81" s="75"/>
      <c r="CN81" s="75"/>
      <c r="CO81" s="75"/>
      <c r="CP81" s="75"/>
      <c r="CQ81" s="75"/>
      <c r="CR81" s="75"/>
      <c r="CS81" s="75"/>
      <c r="CT81" s="75"/>
      <c r="CU81" s="75"/>
      <c r="CV81" s="75"/>
      <c r="CW81" s="25">
        <f t="shared" si="123"/>
        <v>0.4588627428571429</v>
      </c>
      <c r="CX81" s="75">
        <f t="shared" si="124"/>
        <v>160601960</v>
      </c>
      <c r="CY81" s="75"/>
      <c r="CZ81" s="75"/>
      <c r="DA81" s="75"/>
      <c r="DB81" s="75">
        <f t="shared" si="125"/>
        <v>0</v>
      </c>
      <c r="DC81" s="75"/>
      <c r="DD81" s="75">
        <f t="shared" si="126"/>
        <v>0</v>
      </c>
      <c r="DE81" s="75">
        <f t="shared" si="127"/>
        <v>160601960</v>
      </c>
      <c r="DF81" s="75"/>
      <c r="DG81" s="75">
        <f t="shared" si="128"/>
        <v>0</v>
      </c>
      <c r="DH81" s="75">
        <f t="shared" si="129"/>
        <v>0</v>
      </c>
      <c r="DI81" s="75"/>
      <c r="DJ81" s="75">
        <f t="shared" si="130"/>
        <v>0</v>
      </c>
      <c r="DK81" s="75">
        <f t="shared" si="131"/>
        <v>0</v>
      </c>
      <c r="DL81" s="75">
        <f t="shared" si="132"/>
        <v>0</v>
      </c>
      <c r="DM81" s="75">
        <f t="shared" si="133"/>
        <v>0</v>
      </c>
      <c r="DN81" s="75">
        <f t="shared" si="134"/>
        <v>0</v>
      </c>
      <c r="DO81" s="75">
        <f t="shared" si="135"/>
        <v>0</v>
      </c>
      <c r="DP81" s="75">
        <f t="shared" si="136"/>
        <v>0</v>
      </c>
      <c r="DQ81" s="75"/>
      <c r="DR81" s="75">
        <f t="shared" si="137"/>
        <v>0</v>
      </c>
    </row>
    <row r="82" spans="1:122" ht="49.5" customHeight="1" x14ac:dyDescent="0.25">
      <c r="A82" s="242"/>
      <c r="B82" s="81"/>
      <c r="C82" s="82" t="s">
        <v>262</v>
      </c>
      <c r="D82" s="81" t="s">
        <v>261</v>
      </c>
      <c r="E82" s="97">
        <v>520</v>
      </c>
      <c r="F82" s="78" t="s">
        <v>74</v>
      </c>
      <c r="G82" s="228"/>
      <c r="H82" s="79">
        <f t="shared" si="108"/>
        <v>4697418</v>
      </c>
      <c r="I82" s="79">
        <f t="shared" si="109"/>
        <v>1802582</v>
      </c>
      <c r="J82" s="78"/>
      <c r="K82" s="78"/>
      <c r="L82" s="78"/>
      <c r="M82" s="75">
        <f t="shared" si="110"/>
        <v>6500000</v>
      </c>
      <c r="N82" s="45"/>
      <c r="O82" s="45"/>
      <c r="P82" s="45"/>
      <c r="Q82" s="45"/>
      <c r="R82" s="45"/>
      <c r="S82" s="4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>
        <f>4000000+2500000</f>
        <v>6500000</v>
      </c>
      <c r="AH82" s="113"/>
      <c r="AI82" s="25">
        <f t="shared" si="111"/>
        <v>1</v>
      </c>
      <c r="AJ82" s="75">
        <f t="shared" si="112"/>
        <v>6500000</v>
      </c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>
        <f>+'[2]JULIO 2015'!$AD$2444</f>
        <v>6500000</v>
      </c>
      <c r="BE82" s="25">
        <f t="shared" si="91"/>
        <v>0</v>
      </c>
      <c r="BF82" s="75">
        <f t="shared" si="113"/>
        <v>0</v>
      </c>
      <c r="BG82" s="75">
        <f t="shared" si="114"/>
        <v>0</v>
      </c>
      <c r="BH82" s="75">
        <f t="shared" si="115"/>
        <v>0</v>
      </c>
      <c r="BI82" s="75"/>
      <c r="BJ82" s="75">
        <f t="shared" si="116"/>
        <v>0</v>
      </c>
      <c r="BK82" s="75"/>
      <c r="BL82" s="75">
        <f t="shared" si="117"/>
        <v>0</v>
      </c>
      <c r="BM82" s="75">
        <f t="shared" si="118"/>
        <v>0</v>
      </c>
      <c r="BN82" s="75"/>
      <c r="BO82" s="75">
        <f t="shared" si="146"/>
        <v>0</v>
      </c>
      <c r="BP82" s="75">
        <f t="shared" si="138"/>
        <v>0</v>
      </c>
      <c r="BQ82" s="75">
        <f>+X82-AU82</f>
        <v>0</v>
      </c>
      <c r="BR82" s="75">
        <f t="shared" si="141"/>
        <v>0</v>
      </c>
      <c r="BS82" s="75">
        <f t="shared" si="142"/>
        <v>0</v>
      </c>
      <c r="BT82" s="75">
        <f t="shared" si="143"/>
        <v>0</v>
      </c>
      <c r="BU82" s="75">
        <f t="shared" si="147"/>
        <v>0</v>
      </c>
      <c r="BV82" s="75">
        <f t="shared" si="144"/>
        <v>0</v>
      </c>
      <c r="BW82" s="75">
        <f t="shared" si="145"/>
        <v>0</v>
      </c>
      <c r="BX82" s="75"/>
      <c r="BY82" s="75"/>
      <c r="BZ82" s="75">
        <f t="shared" si="120"/>
        <v>0</v>
      </c>
      <c r="CA82" s="25">
        <f t="shared" si="121"/>
        <v>0.72267969230769236</v>
      </c>
      <c r="CB82" s="75">
        <f t="shared" si="122"/>
        <v>4697418</v>
      </c>
      <c r="CC82" s="75"/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5"/>
      <c r="CP82" s="75"/>
      <c r="CQ82" s="75"/>
      <c r="CR82" s="75"/>
      <c r="CS82" s="75"/>
      <c r="CT82" s="75"/>
      <c r="CU82" s="75"/>
      <c r="CV82" s="75">
        <f>+'[1]AGOSTO 2015'!$H$2737</f>
        <v>4697418</v>
      </c>
      <c r="CW82" s="25">
        <f t="shared" si="123"/>
        <v>0.27732030769230764</v>
      </c>
      <c r="CX82" s="75">
        <f t="shared" si="124"/>
        <v>1802582</v>
      </c>
      <c r="CY82" s="75"/>
      <c r="CZ82" s="75"/>
      <c r="DA82" s="75"/>
      <c r="DB82" s="75">
        <f t="shared" si="125"/>
        <v>0</v>
      </c>
      <c r="DC82" s="75"/>
      <c r="DD82" s="75">
        <f t="shared" si="126"/>
        <v>0</v>
      </c>
      <c r="DE82" s="75">
        <f t="shared" si="127"/>
        <v>0</v>
      </c>
      <c r="DF82" s="75"/>
      <c r="DG82" s="75">
        <f t="shared" si="128"/>
        <v>0</v>
      </c>
      <c r="DH82" s="75">
        <f t="shared" si="129"/>
        <v>0</v>
      </c>
      <c r="DI82" s="75"/>
      <c r="DJ82" s="75">
        <f t="shared" si="130"/>
        <v>0</v>
      </c>
      <c r="DK82" s="75">
        <f t="shared" si="131"/>
        <v>0</v>
      </c>
      <c r="DL82" s="75">
        <f t="shared" si="132"/>
        <v>0</v>
      </c>
      <c r="DM82" s="75">
        <f t="shared" si="133"/>
        <v>0</v>
      </c>
      <c r="DN82" s="75">
        <f t="shared" si="134"/>
        <v>0</v>
      </c>
      <c r="DO82" s="75">
        <f t="shared" si="135"/>
        <v>0</v>
      </c>
      <c r="DP82" s="75">
        <f t="shared" si="136"/>
        <v>0</v>
      </c>
      <c r="DQ82" s="75"/>
      <c r="DR82" s="75">
        <f t="shared" si="137"/>
        <v>1802582</v>
      </c>
    </row>
    <row r="83" spans="1:122" ht="36" customHeight="1" x14ac:dyDescent="0.25">
      <c r="A83" s="242"/>
      <c r="B83" s="119"/>
      <c r="C83" s="82" t="s">
        <v>260</v>
      </c>
      <c r="D83" s="81" t="s">
        <v>259</v>
      </c>
      <c r="E83" s="118">
        <v>520</v>
      </c>
      <c r="F83" s="78" t="s">
        <v>214</v>
      </c>
      <c r="G83" s="228"/>
      <c r="H83" s="79">
        <f t="shared" si="108"/>
        <v>25243919</v>
      </c>
      <c r="I83" s="79">
        <f t="shared" si="109"/>
        <v>74756081</v>
      </c>
      <c r="J83" s="78"/>
      <c r="K83" s="78"/>
      <c r="L83" s="78"/>
      <c r="M83" s="75">
        <f t="shared" si="110"/>
        <v>100000000</v>
      </c>
      <c r="N83" s="117"/>
      <c r="O83" s="115">
        <f>100000000-100000000</f>
        <v>0</v>
      </c>
      <c r="P83" s="115"/>
      <c r="Q83" s="117"/>
      <c r="R83" s="117"/>
      <c r="S83" s="117"/>
      <c r="T83" s="75">
        <v>100000000</v>
      </c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113"/>
      <c r="AI83" s="25">
        <f t="shared" si="111"/>
        <v>1</v>
      </c>
      <c r="AJ83" s="75">
        <f t="shared" si="112"/>
        <v>100000000</v>
      </c>
      <c r="AK83" s="75"/>
      <c r="AL83" s="75"/>
      <c r="AM83" s="75"/>
      <c r="AN83" s="75"/>
      <c r="AO83" s="75"/>
      <c r="AP83" s="75"/>
      <c r="AQ83" s="75">
        <f>+'[5]FEBRERO 2015'!$O$1182</f>
        <v>100000000</v>
      </c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25">
        <f t="shared" si="91"/>
        <v>0</v>
      </c>
      <c r="BF83" s="75">
        <f t="shared" si="113"/>
        <v>0</v>
      </c>
      <c r="BG83" s="75">
        <f t="shared" si="114"/>
        <v>0</v>
      </c>
      <c r="BH83" s="75">
        <f t="shared" si="115"/>
        <v>0</v>
      </c>
      <c r="BI83" s="75"/>
      <c r="BJ83" s="75">
        <f t="shared" si="116"/>
        <v>0</v>
      </c>
      <c r="BK83" s="75"/>
      <c r="BL83" s="75">
        <f t="shared" si="117"/>
        <v>0</v>
      </c>
      <c r="BM83" s="75">
        <f t="shared" si="118"/>
        <v>0</v>
      </c>
      <c r="BN83" s="75"/>
      <c r="BO83" s="75">
        <f t="shared" si="146"/>
        <v>0</v>
      </c>
      <c r="BP83" s="75">
        <f t="shared" si="138"/>
        <v>0</v>
      </c>
      <c r="BQ83" s="75">
        <f>+X83-AU83</f>
        <v>0</v>
      </c>
      <c r="BR83" s="75">
        <f t="shared" si="141"/>
        <v>0</v>
      </c>
      <c r="BS83" s="75">
        <f t="shared" si="142"/>
        <v>0</v>
      </c>
      <c r="BT83" s="75">
        <f t="shared" si="143"/>
        <v>0</v>
      </c>
      <c r="BU83" s="75">
        <f t="shared" si="147"/>
        <v>0</v>
      </c>
      <c r="BV83" s="75">
        <f t="shared" si="144"/>
        <v>0</v>
      </c>
      <c r="BW83" s="75">
        <f t="shared" si="145"/>
        <v>0</v>
      </c>
      <c r="BX83" s="75"/>
      <c r="BY83" s="75"/>
      <c r="BZ83" s="75">
        <f t="shared" si="120"/>
        <v>0</v>
      </c>
      <c r="CA83" s="25">
        <f t="shared" si="121"/>
        <v>0.25243918999999998</v>
      </c>
      <c r="CB83" s="75">
        <f t="shared" si="122"/>
        <v>25243919</v>
      </c>
      <c r="CC83" s="75"/>
      <c r="CD83" s="75"/>
      <c r="CE83" s="75"/>
      <c r="CF83" s="75"/>
      <c r="CG83" s="75"/>
      <c r="CH83" s="75"/>
      <c r="CI83" s="75">
        <f>+'[1]AGOSTO 2015'!$H$2755</f>
        <v>25243919</v>
      </c>
      <c r="CJ83" s="75"/>
      <c r="CK83" s="75"/>
      <c r="CL83" s="75"/>
      <c r="CM83" s="75"/>
      <c r="CN83" s="75"/>
      <c r="CO83" s="75"/>
      <c r="CP83" s="75"/>
      <c r="CQ83" s="75"/>
      <c r="CR83" s="75"/>
      <c r="CS83" s="75"/>
      <c r="CT83" s="75"/>
      <c r="CU83" s="75"/>
      <c r="CV83" s="75"/>
      <c r="CW83" s="25">
        <f t="shared" si="123"/>
        <v>0.74756080999999996</v>
      </c>
      <c r="CX83" s="75">
        <f t="shared" si="124"/>
        <v>74756081</v>
      </c>
      <c r="CY83" s="75"/>
      <c r="CZ83" s="75">
        <f>O83-CD83</f>
        <v>0</v>
      </c>
      <c r="DA83" s="75">
        <f>P83-CE83</f>
        <v>0</v>
      </c>
      <c r="DB83" s="75">
        <f t="shared" si="125"/>
        <v>0</v>
      </c>
      <c r="DC83" s="75"/>
      <c r="DD83" s="75">
        <f t="shared" si="126"/>
        <v>0</v>
      </c>
      <c r="DE83" s="75">
        <f t="shared" si="127"/>
        <v>74756081</v>
      </c>
      <c r="DF83" s="75"/>
      <c r="DG83" s="75">
        <f t="shared" si="128"/>
        <v>0</v>
      </c>
      <c r="DH83" s="75">
        <f t="shared" si="129"/>
        <v>0</v>
      </c>
      <c r="DI83" s="75"/>
      <c r="DJ83" s="75">
        <f t="shared" si="130"/>
        <v>0</v>
      </c>
      <c r="DK83" s="75">
        <f t="shared" si="131"/>
        <v>0</v>
      </c>
      <c r="DL83" s="75">
        <f t="shared" si="132"/>
        <v>0</v>
      </c>
      <c r="DM83" s="75">
        <f t="shared" si="133"/>
        <v>0</v>
      </c>
      <c r="DN83" s="75">
        <f t="shared" si="134"/>
        <v>0</v>
      </c>
      <c r="DO83" s="75">
        <f t="shared" si="135"/>
        <v>0</v>
      </c>
      <c r="DP83" s="75">
        <f t="shared" si="136"/>
        <v>0</v>
      </c>
      <c r="DQ83" s="75"/>
      <c r="DR83" s="75">
        <f t="shared" si="137"/>
        <v>0</v>
      </c>
    </row>
    <row r="84" spans="1:122" ht="33" customHeight="1" x14ac:dyDescent="0.25">
      <c r="A84" s="242"/>
      <c r="B84" s="81"/>
      <c r="C84" s="82" t="s">
        <v>258</v>
      </c>
      <c r="D84" s="81" t="s">
        <v>257</v>
      </c>
      <c r="E84" s="97">
        <v>520</v>
      </c>
      <c r="F84" s="78" t="s">
        <v>214</v>
      </c>
      <c r="G84" s="228"/>
      <c r="H84" s="79">
        <f t="shared" si="108"/>
        <v>63277331</v>
      </c>
      <c r="I84" s="79">
        <f t="shared" si="109"/>
        <v>66722669</v>
      </c>
      <c r="J84" s="78"/>
      <c r="K84" s="78"/>
      <c r="L84" s="78"/>
      <c r="M84" s="75">
        <f t="shared" si="110"/>
        <v>130000000</v>
      </c>
      <c r="N84" s="45"/>
      <c r="O84" s="115">
        <f>200000000-200000000</f>
        <v>0</v>
      </c>
      <c r="P84" s="115"/>
      <c r="Q84" s="45"/>
      <c r="R84" s="45"/>
      <c r="S84" s="45"/>
      <c r="T84" s="75">
        <f>200000000-60000000-10000000</f>
        <v>130000000</v>
      </c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113"/>
      <c r="AI84" s="25">
        <f t="shared" si="111"/>
        <v>1</v>
      </c>
      <c r="AJ84" s="75">
        <f t="shared" si="112"/>
        <v>130000000</v>
      </c>
      <c r="AK84" s="75"/>
      <c r="AL84" s="75"/>
      <c r="AM84" s="75"/>
      <c r="AN84" s="75"/>
      <c r="AO84" s="75"/>
      <c r="AP84" s="75"/>
      <c r="AQ84" s="75">
        <f>+'[3]ABRIL 2015'!$O$1649-10000000</f>
        <v>130000000</v>
      </c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25">
        <f t="shared" si="91"/>
        <v>0</v>
      </c>
      <c r="BF84" s="75">
        <f t="shared" si="113"/>
        <v>0</v>
      </c>
      <c r="BG84" s="75">
        <f t="shared" si="114"/>
        <v>0</v>
      </c>
      <c r="BH84" s="75">
        <f t="shared" si="115"/>
        <v>0</v>
      </c>
      <c r="BI84" s="75"/>
      <c r="BJ84" s="75">
        <f t="shared" si="116"/>
        <v>0</v>
      </c>
      <c r="BK84" s="75"/>
      <c r="BL84" s="75">
        <f t="shared" si="117"/>
        <v>0</v>
      </c>
      <c r="BM84" s="75">
        <f t="shared" si="118"/>
        <v>0</v>
      </c>
      <c r="BN84" s="75"/>
      <c r="BO84" s="75">
        <f t="shared" si="146"/>
        <v>0</v>
      </c>
      <c r="BP84" s="75">
        <f t="shared" si="138"/>
        <v>0</v>
      </c>
      <c r="BQ84" s="75">
        <f>+X84-AU84</f>
        <v>0</v>
      </c>
      <c r="BR84" s="75">
        <f t="shared" si="141"/>
        <v>0</v>
      </c>
      <c r="BS84" s="75">
        <f t="shared" si="142"/>
        <v>0</v>
      </c>
      <c r="BT84" s="75">
        <f t="shared" si="143"/>
        <v>0</v>
      </c>
      <c r="BU84" s="75">
        <f t="shared" si="147"/>
        <v>0</v>
      </c>
      <c r="BV84" s="75">
        <f t="shared" si="144"/>
        <v>0</v>
      </c>
      <c r="BW84" s="75">
        <f t="shared" si="145"/>
        <v>0</v>
      </c>
      <c r="BX84" s="75"/>
      <c r="BY84" s="75"/>
      <c r="BZ84" s="75">
        <f t="shared" si="120"/>
        <v>0</v>
      </c>
      <c r="CA84" s="25">
        <f t="shared" si="121"/>
        <v>0.48674869999999998</v>
      </c>
      <c r="CB84" s="75">
        <f t="shared" si="122"/>
        <v>63277331</v>
      </c>
      <c r="CC84" s="75"/>
      <c r="CD84" s="75"/>
      <c r="CE84" s="75"/>
      <c r="CF84" s="75"/>
      <c r="CG84" s="75"/>
      <c r="CH84" s="75"/>
      <c r="CI84" s="75">
        <f>+'[1]AGOSTO 2015'!$H$2792</f>
        <v>63277331</v>
      </c>
      <c r="CJ84" s="75"/>
      <c r="CK84" s="75"/>
      <c r="CL84" s="75"/>
      <c r="CM84" s="75"/>
      <c r="CN84" s="75"/>
      <c r="CO84" s="75"/>
      <c r="CP84" s="75"/>
      <c r="CQ84" s="75"/>
      <c r="CR84" s="75"/>
      <c r="CS84" s="75"/>
      <c r="CT84" s="75"/>
      <c r="CU84" s="75"/>
      <c r="CV84" s="75"/>
      <c r="CW84" s="25">
        <f t="shared" si="123"/>
        <v>0.51325130000000008</v>
      </c>
      <c r="CX84" s="75">
        <f t="shared" si="124"/>
        <v>66722669</v>
      </c>
      <c r="CY84" s="75"/>
      <c r="CZ84" s="75">
        <f>O84-CD84</f>
        <v>0</v>
      </c>
      <c r="DA84" s="75">
        <f>P84-CE84</f>
        <v>0</v>
      </c>
      <c r="DB84" s="75">
        <f t="shared" si="125"/>
        <v>0</v>
      </c>
      <c r="DC84" s="75"/>
      <c r="DD84" s="75">
        <f t="shared" si="126"/>
        <v>0</v>
      </c>
      <c r="DE84" s="75">
        <f t="shared" si="127"/>
        <v>66722669</v>
      </c>
      <c r="DF84" s="75"/>
      <c r="DG84" s="75">
        <f t="shared" si="128"/>
        <v>0</v>
      </c>
      <c r="DH84" s="75">
        <f t="shared" si="129"/>
        <v>0</v>
      </c>
      <c r="DI84" s="75"/>
      <c r="DJ84" s="75">
        <f t="shared" si="130"/>
        <v>0</v>
      </c>
      <c r="DK84" s="75">
        <f t="shared" si="131"/>
        <v>0</v>
      </c>
      <c r="DL84" s="75">
        <f t="shared" si="132"/>
        <v>0</v>
      </c>
      <c r="DM84" s="75">
        <f t="shared" si="133"/>
        <v>0</v>
      </c>
      <c r="DN84" s="75">
        <f t="shared" si="134"/>
        <v>0</v>
      </c>
      <c r="DO84" s="75">
        <f t="shared" si="135"/>
        <v>0</v>
      </c>
      <c r="DP84" s="75">
        <f t="shared" si="136"/>
        <v>0</v>
      </c>
      <c r="DQ84" s="75"/>
      <c r="DR84" s="75">
        <f t="shared" si="137"/>
        <v>0</v>
      </c>
    </row>
    <row r="85" spans="1:122" ht="57.75" customHeight="1" x14ac:dyDescent="0.25">
      <c r="A85" s="242"/>
      <c r="B85" s="119"/>
      <c r="C85" s="82" t="s">
        <v>256</v>
      </c>
      <c r="D85" s="81" t="s">
        <v>255</v>
      </c>
      <c r="E85" s="118">
        <v>520</v>
      </c>
      <c r="F85" s="78" t="s">
        <v>254</v>
      </c>
      <c r="G85" s="228"/>
      <c r="H85" s="79">
        <f t="shared" si="108"/>
        <v>394173684</v>
      </c>
      <c r="I85" s="79">
        <f t="shared" si="109"/>
        <v>47370149</v>
      </c>
      <c r="J85" s="78"/>
      <c r="K85" s="78"/>
      <c r="L85" s="78"/>
      <c r="M85" s="75">
        <f t="shared" si="110"/>
        <v>441543833</v>
      </c>
      <c r="N85" s="117"/>
      <c r="O85" s="117"/>
      <c r="P85" s="117"/>
      <c r="Q85" s="117"/>
      <c r="R85" s="117"/>
      <c r="S85" s="117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>
        <f>111000000+41000000+32000000+9000000+19000000+17271328+15000000+191272505+6000000</f>
        <v>441543833</v>
      </c>
      <c r="AH85" s="113"/>
      <c r="AI85" s="25">
        <f t="shared" si="111"/>
        <v>1</v>
      </c>
      <c r="AJ85" s="75">
        <f t="shared" si="112"/>
        <v>441543833</v>
      </c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>
        <f>+'[2]JULIO 2015'!$AD$2527</f>
        <v>441543833</v>
      </c>
      <c r="BE85" s="25">
        <f t="shared" si="91"/>
        <v>0</v>
      </c>
      <c r="BF85" s="75">
        <f t="shared" si="113"/>
        <v>0</v>
      </c>
      <c r="BG85" s="75">
        <f t="shared" si="114"/>
        <v>0</v>
      </c>
      <c r="BH85" s="75">
        <f t="shared" si="115"/>
        <v>0</v>
      </c>
      <c r="BI85" s="75"/>
      <c r="BJ85" s="75">
        <f t="shared" si="116"/>
        <v>0</v>
      </c>
      <c r="BK85" s="75"/>
      <c r="BL85" s="75">
        <f t="shared" si="117"/>
        <v>0</v>
      </c>
      <c r="BM85" s="75">
        <f t="shared" si="118"/>
        <v>0</v>
      </c>
      <c r="BN85" s="75"/>
      <c r="BO85" s="75">
        <f t="shared" si="146"/>
        <v>0</v>
      </c>
      <c r="BP85" s="75">
        <f t="shared" si="138"/>
        <v>0</v>
      </c>
      <c r="BQ85" s="75"/>
      <c r="BR85" s="75">
        <f t="shared" si="141"/>
        <v>0</v>
      </c>
      <c r="BS85" s="75">
        <f t="shared" si="142"/>
        <v>0</v>
      </c>
      <c r="BT85" s="75">
        <f t="shared" si="143"/>
        <v>0</v>
      </c>
      <c r="BU85" s="75">
        <f t="shared" si="147"/>
        <v>0</v>
      </c>
      <c r="BV85" s="75">
        <f t="shared" si="144"/>
        <v>0</v>
      </c>
      <c r="BW85" s="75">
        <f t="shared" si="145"/>
        <v>0</v>
      </c>
      <c r="BX85" s="75"/>
      <c r="BY85" s="75"/>
      <c r="BZ85" s="75">
        <f t="shared" si="120"/>
        <v>0</v>
      </c>
      <c r="CA85" s="25">
        <f t="shared" si="121"/>
        <v>0.8927169955513794</v>
      </c>
      <c r="CB85" s="75">
        <f t="shared" si="122"/>
        <v>394173684</v>
      </c>
      <c r="CC85" s="75"/>
      <c r="CD85" s="75"/>
      <c r="CE85" s="75"/>
      <c r="CF85" s="75"/>
      <c r="CG85" s="75"/>
      <c r="CH85" s="75"/>
      <c r="CI85" s="75"/>
      <c r="CJ85" s="75"/>
      <c r="CK85" s="75"/>
      <c r="CL85" s="75"/>
      <c r="CM85" s="75"/>
      <c r="CN85" s="75"/>
      <c r="CO85" s="75"/>
      <c r="CP85" s="75"/>
      <c r="CQ85" s="75"/>
      <c r="CR85" s="75"/>
      <c r="CS85" s="75"/>
      <c r="CT85" s="75"/>
      <c r="CU85" s="75"/>
      <c r="CV85" s="75">
        <f>+'[1]AGOSTO 2015'!$H$2835</f>
        <v>394173684</v>
      </c>
      <c r="CW85" s="25">
        <f t="shared" si="123"/>
        <v>0.1072830044486206</v>
      </c>
      <c r="CX85" s="75">
        <f t="shared" si="124"/>
        <v>47370149</v>
      </c>
      <c r="CY85" s="75"/>
      <c r="CZ85" s="75"/>
      <c r="DA85" s="75"/>
      <c r="DB85" s="75">
        <f t="shared" si="125"/>
        <v>0</v>
      </c>
      <c r="DC85" s="75"/>
      <c r="DD85" s="75">
        <f t="shared" si="126"/>
        <v>0</v>
      </c>
      <c r="DE85" s="75">
        <f t="shared" si="127"/>
        <v>0</v>
      </c>
      <c r="DF85" s="75"/>
      <c r="DG85" s="75">
        <f t="shared" si="128"/>
        <v>0</v>
      </c>
      <c r="DH85" s="75">
        <f t="shared" si="129"/>
        <v>0</v>
      </c>
      <c r="DI85" s="75"/>
      <c r="DJ85" s="75">
        <f t="shared" si="130"/>
        <v>0</v>
      </c>
      <c r="DK85" s="75">
        <f t="shared" si="131"/>
        <v>0</v>
      </c>
      <c r="DL85" s="75">
        <f t="shared" si="132"/>
        <v>0</v>
      </c>
      <c r="DM85" s="75">
        <f t="shared" si="133"/>
        <v>0</v>
      </c>
      <c r="DN85" s="75">
        <f t="shared" si="134"/>
        <v>0</v>
      </c>
      <c r="DO85" s="75">
        <f t="shared" si="135"/>
        <v>0</v>
      </c>
      <c r="DP85" s="75">
        <f t="shared" si="136"/>
        <v>0</v>
      </c>
      <c r="DQ85" s="75"/>
      <c r="DR85" s="75">
        <f t="shared" si="137"/>
        <v>47370149</v>
      </c>
    </row>
    <row r="86" spans="1:122" ht="39.75" customHeight="1" x14ac:dyDescent="0.25">
      <c r="A86" s="242"/>
      <c r="B86" s="81"/>
      <c r="C86" s="82" t="s">
        <v>253</v>
      </c>
      <c r="D86" s="81" t="s">
        <v>252</v>
      </c>
      <c r="E86" s="97">
        <v>520</v>
      </c>
      <c r="F86" s="78" t="s">
        <v>251</v>
      </c>
      <c r="G86" s="228"/>
      <c r="H86" s="79">
        <f t="shared" si="108"/>
        <v>3547686</v>
      </c>
      <c r="I86" s="79">
        <f t="shared" si="109"/>
        <v>21008011</v>
      </c>
      <c r="J86" s="78"/>
      <c r="K86" s="78"/>
      <c r="L86" s="78"/>
      <c r="M86" s="75">
        <f t="shared" si="110"/>
        <v>24555697</v>
      </c>
      <c r="N86" s="45"/>
      <c r="O86" s="45"/>
      <c r="P86" s="45"/>
      <c r="Q86" s="45"/>
      <c r="R86" s="45"/>
      <c r="S86" s="4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>
        <f>3000000+5000000+15055697+1500000</f>
        <v>24555697</v>
      </c>
      <c r="AH86" s="113"/>
      <c r="AI86" s="25">
        <f t="shared" si="111"/>
        <v>0.38687559958082235</v>
      </c>
      <c r="AJ86" s="75">
        <f t="shared" si="112"/>
        <v>9500000</v>
      </c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>
        <f>+'[2]JULIO 2015'!$AD$2598</f>
        <v>9500000</v>
      </c>
      <c r="BE86" s="25">
        <f t="shared" si="91"/>
        <v>0.6131244004191776</v>
      </c>
      <c r="BF86" s="75">
        <f t="shared" si="113"/>
        <v>15055697</v>
      </c>
      <c r="BG86" s="75">
        <f t="shared" si="114"/>
        <v>0</v>
      </c>
      <c r="BH86" s="75">
        <f t="shared" si="115"/>
        <v>0</v>
      </c>
      <c r="BI86" s="75"/>
      <c r="BJ86" s="75">
        <f t="shared" si="116"/>
        <v>0</v>
      </c>
      <c r="BK86" s="75"/>
      <c r="BL86" s="75">
        <f t="shared" si="117"/>
        <v>0</v>
      </c>
      <c r="BM86" s="75">
        <f t="shared" si="118"/>
        <v>0</v>
      </c>
      <c r="BN86" s="75"/>
      <c r="BO86" s="75">
        <f t="shared" si="146"/>
        <v>0</v>
      </c>
      <c r="BP86" s="75">
        <f t="shared" si="138"/>
        <v>0</v>
      </c>
      <c r="BQ86" s="75"/>
      <c r="BR86" s="75">
        <f t="shared" si="141"/>
        <v>0</v>
      </c>
      <c r="BS86" s="75">
        <f t="shared" si="142"/>
        <v>0</v>
      </c>
      <c r="BT86" s="75">
        <f t="shared" si="143"/>
        <v>0</v>
      </c>
      <c r="BU86" s="75">
        <f t="shared" si="147"/>
        <v>0</v>
      </c>
      <c r="BV86" s="75">
        <f t="shared" si="144"/>
        <v>0</v>
      </c>
      <c r="BW86" s="75">
        <f t="shared" si="145"/>
        <v>0</v>
      </c>
      <c r="BX86" s="75"/>
      <c r="BY86" s="75"/>
      <c r="BZ86" s="75">
        <f t="shared" si="120"/>
        <v>15055697</v>
      </c>
      <c r="CA86" s="25">
        <f t="shared" si="121"/>
        <v>0.14447506824994624</v>
      </c>
      <c r="CB86" s="75">
        <f t="shared" si="122"/>
        <v>3547686</v>
      </c>
      <c r="CC86" s="75"/>
      <c r="CD86" s="75"/>
      <c r="CE86" s="75"/>
      <c r="CF86" s="75"/>
      <c r="CG86" s="75"/>
      <c r="CH86" s="75"/>
      <c r="CI86" s="75"/>
      <c r="CJ86" s="75"/>
      <c r="CK86" s="75"/>
      <c r="CL86" s="75"/>
      <c r="CM86" s="75"/>
      <c r="CN86" s="75"/>
      <c r="CO86" s="75"/>
      <c r="CP86" s="75"/>
      <c r="CQ86" s="75"/>
      <c r="CR86" s="75"/>
      <c r="CS86" s="75"/>
      <c r="CT86" s="75"/>
      <c r="CU86" s="75"/>
      <c r="CV86" s="75">
        <f>+'[1]AGOSTO 2015'!$H$2909</f>
        <v>3547686</v>
      </c>
      <c r="CW86" s="25">
        <f t="shared" si="123"/>
        <v>0.85552493175005373</v>
      </c>
      <c r="CX86" s="75">
        <f t="shared" si="124"/>
        <v>21008011</v>
      </c>
      <c r="CY86" s="75"/>
      <c r="CZ86" s="75"/>
      <c r="DA86" s="75"/>
      <c r="DB86" s="75">
        <f t="shared" si="125"/>
        <v>0</v>
      </c>
      <c r="DC86" s="75"/>
      <c r="DD86" s="75">
        <f t="shared" si="126"/>
        <v>0</v>
      </c>
      <c r="DE86" s="75">
        <f t="shared" si="127"/>
        <v>0</v>
      </c>
      <c r="DF86" s="75"/>
      <c r="DG86" s="75">
        <f t="shared" si="128"/>
        <v>0</v>
      </c>
      <c r="DH86" s="75">
        <f t="shared" si="129"/>
        <v>0</v>
      </c>
      <c r="DI86" s="75"/>
      <c r="DJ86" s="75">
        <f t="shared" si="130"/>
        <v>0</v>
      </c>
      <c r="DK86" s="75">
        <f t="shared" si="131"/>
        <v>0</v>
      </c>
      <c r="DL86" s="75">
        <f t="shared" si="132"/>
        <v>0</v>
      </c>
      <c r="DM86" s="75">
        <f t="shared" si="133"/>
        <v>0</v>
      </c>
      <c r="DN86" s="75">
        <f t="shared" si="134"/>
        <v>0</v>
      </c>
      <c r="DO86" s="75">
        <f t="shared" si="135"/>
        <v>0</v>
      </c>
      <c r="DP86" s="75">
        <f t="shared" si="136"/>
        <v>0</v>
      </c>
      <c r="DQ86" s="75"/>
      <c r="DR86" s="75">
        <f t="shared" si="137"/>
        <v>21008011</v>
      </c>
    </row>
    <row r="87" spans="1:122" ht="36" customHeight="1" x14ac:dyDescent="0.25">
      <c r="A87" s="242"/>
      <c r="B87" s="81"/>
      <c r="C87" s="82" t="s">
        <v>250</v>
      </c>
      <c r="D87" s="81" t="s">
        <v>249</v>
      </c>
      <c r="E87" s="97">
        <v>520</v>
      </c>
      <c r="F87" s="78" t="s">
        <v>214</v>
      </c>
      <c r="G87" s="228"/>
      <c r="H87" s="79">
        <f t="shared" si="108"/>
        <v>104600638</v>
      </c>
      <c r="I87" s="79">
        <f t="shared" si="109"/>
        <v>506263797</v>
      </c>
      <c r="J87" s="78"/>
      <c r="K87" s="78"/>
      <c r="L87" s="78"/>
      <c r="M87" s="75">
        <f t="shared" si="110"/>
        <v>610864435</v>
      </c>
      <c r="N87" s="45"/>
      <c r="O87" s="45"/>
      <c r="P87" s="45"/>
      <c r="Q87" s="45"/>
      <c r="R87" s="45"/>
      <c r="S87" s="45"/>
      <c r="T87" s="75"/>
      <c r="U87" s="75"/>
      <c r="V87" s="75"/>
      <c r="W87" s="75"/>
      <c r="X87" s="75"/>
      <c r="Y87" s="75"/>
      <c r="Z87" s="75">
        <f>450000000+160864435</f>
        <v>610864435</v>
      </c>
      <c r="AA87" s="75"/>
      <c r="AB87" s="75"/>
      <c r="AC87" s="75"/>
      <c r="AD87" s="75"/>
      <c r="AE87" s="75"/>
      <c r="AF87" s="75"/>
      <c r="AG87" s="75"/>
      <c r="AH87" s="113"/>
      <c r="AI87" s="25">
        <f t="shared" si="111"/>
        <v>0.36199230685282896</v>
      </c>
      <c r="AJ87" s="75">
        <f t="shared" si="112"/>
        <v>221128226</v>
      </c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>
        <f>+'[1]AGOSTO 2015'!$V$2923</f>
        <v>221128226</v>
      </c>
      <c r="AX87" s="75"/>
      <c r="AY87" s="75"/>
      <c r="AZ87" s="75"/>
      <c r="BA87" s="75"/>
      <c r="BB87" s="75"/>
      <c r="BC87" s="75"/>
      <c r="BD87" s="75"/>
      <c r="BE87" s="25">
        <f t="shared" si="91"/>
        <v>0.63800769314717098</v>
      </c>
      <c r="BF87" s="75">
        <f t="shared" si="113"/>
        <v>389736209</v>
      </c>
      <c r="BG87" s="75">
        <f t="shared" si="114"/>
        <v>0</v>
      </c>
      <c r="BH87" s="75">
        <f t="shared" si="115"/>
        <v>0</v>
      </c>
      <c r="BI87" s="75"/>
      <c r="BJ87" s="75">
        <f t="shared" si="116"/>
        <v>0</v>
      </c>
      <c r="BK87" s="75"/>
      <c r="BL87" s="75">
        <f t="shared" si="117"/>
        <v>0</v>
      </c>
      <c r="BM87" s="75">
        <f t="shared" si="118"/>
        <v>0</v>
      </c>
      <c r="BN87" s="75"/>
      <c r="BO87" s="75">
        <f t="shared" si="146"/>
        <v>0</v>
      </c>
      <c r="BP87" s="75">
        <f t="shared" si="138"/>
        <v>0</v>
      </c>
      <c r="BQ87" s="75"/>
      <c r="BR87" s="75">
        <f t="shared" si="141"/>
        <v>0</v>
      </c>
      <c r="BS87" s="75">
        <f t="shared" si="142"/>
        <v>389736209</v>
      </c>
      <c r="BT87" s="75">
        <f t="shared" si="143"/>
        <v>0</v>
      </c>
      <c r="BU87" s="75">
        <f t="shared" si="147"/>
        <v>0</v>
      </c>
      <c r="BV87" s="75">
        <f t="shared" si="144"/>
        <v>0</v>
      </c>
      <c r="BW87" s="75">
        <f t="shared" si="145"/>
        <v>0</v>
      </c>
      <c r="BX87" s="75"/>
      <c r="BY87" s="75"/>
      <c r="BZ87" s="75">
        <f t="shared" si="120"/>
        <v>0</v>
      </c>
      <c r="CA87" s="25">
        <f t="shared" si="121"/>
        <v>0.17123379919801682</v>
      </c>
      <c r="CB87" s="75">
        <f t="shared" si="122"/>
        <v>104600638</v>
      </c>
      <c r="CC87" s="75"/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5">
        <f>+'[1]AGOSTO 2015'!$H$2921</f>
        <v>104600638</v>
      </c>
      <c r="CP87" s="75"/>
      <c r="CQ87" s="75"/>
      <c r="CR87" s="75"/>
      <c r="CS87" s="75"/>
      <c r="CT87" s="75"/>
      <c r="CU87" s="75"/>
      <c r="CV87" s="75"/>
      <c r="CW87" s="25">
        <f t="shared" si="123"/>
        <v>0.82876620080198315</v>
      </c>
      <c r="CX87" s="75">
        <f t="shared" si="124"/>
        <v>506263797</v>
      </c>
      <c r="CY87" s="75"/>
      <c r="CZ87" s="75"/>
      <c r="DA87" s="75"/>
      <c r="DB87" s="75">
        <f t="shared" si="125"/>
        <v>0</v>
      </c>
      <c r="DC87" s="75"/>
      <c r="DD87" s="75">
        <f t="shared" si="126"/>
        <v>0</v>
      </c>
      <c r="DE87" s="75">
        <f t="shared" si="127"/>
        <v>0</v>
      </c>
      <c r="DF87" s="75"/>
      <c r="DG87" s="75">
        <f t="shared" si="128"/>
        <v>0</v>
      </c>
      <c r="DH87" s="75">
        <f t="shared" si="129"/>
        <v>0</v>
      </c>
      <c r="DI87" s="75"/>
      <c r="DJ87" s="75">
        <f t="shared" si="130"/>
        <v>0</v>
      </c>
      <c r="DK87" s="75">
        <f t="shared" si="131"/>
        <v>506263797</v>
      </c>
      <c r="DL87" s="75">
        <f t="shared" si="132"/>
        <v>0</v>
      </c>
      <c r="DM87" s="75">
        <f t="shared" si="133"/>
        <v>0</v>
      </c>
      <c r="DN87" s="75">
        <f t="shared" si="134"/>
        <v>0</v>
      </c>
      <c r="DO87" s="75">
        <f t="shared" si="135"/>
        <v>0</v>
      </c>
      <c r="DP87" s="75">
        <f t="shared" si="136"/>
        <v>0</v>
      </c>
      <c r="DQ87" s="75"/>
      <c r="DR87" s="75">
        <f t="shared" si="137"/>
        <v>0</v>
      </c>
    </row>
    <row r="88" spans="1:122" ht="33" customHeight="1" x14ac:dyDescent="0.25">
      <c r="A88" s="242"/>
      <c r="B88" s="81"/>
      <c r="C88" s="82" t="s">
        <v>248</v>
      </c>
      <c r="D88" s="81" t="s">
        <v>247</v>
      </c>
      <c r="E88" s="97">
        <v>520</v>
      </c>
      <c r="F88" s="78" t="s">
        <v>214</v>
      </c>
      <c r="G88" s="229"/>
      <c r="H88" s="79">
        <f t="shared" si="108"/>
        <v>0</v>
      </c>
      <c r="I88" s="79">
        <f t="shared" si="109"/>
        <v>23014856</v>
      </c>
      <c r="J88" s="78"/>
      <c r="K88" s="78"/>
      <c r="L88" s="78"/>
      <c r="M88" s="75">
        <f t="shared" si="110"/>
        <v>23014856</v>
      </c>
      <c r="N88" s="45"/>
      <c r="O88" s="115">
        <f>23014856-23014856</f>
        <v>0</v>
      </c>
      <c r="P88" s="115"/>
      <c r="Q88" s="45"/>
      <c r="R88" s="45"/>
      <c r="S88" s="45"/>
      <c r="T88" s="75">
        <v>23014856</v>
      </c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113"/>
      <c r="AI88" s="25">
        <f t="shared" si="111"/>
        <v>1</v>
      </c>
      <c r="AJ88" s="75">
        <f t="shared" si="112"/>
        <v>23014856</v>
      </c>
      <c r="AK88" s="75"/>
      <c r="AL88" s="75"/>
      <c r="AM88" s="75"/>
      <c r="AN88" s="75"/>
      <c r="AO88" s="75"/>
      <c r="AP88" s="75"/>
      <c r="AQ88" s="75">
        <f>+'[5]FEBRERO 2015'!$O$1235</f>
        <v>23014856</v>
      </c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25">
        <f t="shared" ref="BE88:BE103" si="148">1-AI88</f>
        <v>0</v>
      </c>
      <c r="BF88" s="75">
        <f t="shared" si="113"/>
        <v>0</v>
      </c>
      <c r="BG88" s="75">
        <f t="shared" si="114"/>
        <v>0</v>
      </c>
      <c r="BH88" s="75">
        <f t="shared" si="115"/>
        <v>0</v>
      </c>
      <c r="BI88" s="75"/>
      <c r="BJ88" s="75">
        <f t="shared" si="116"/>
        <v>0</v>
      </c>
      <c r="BK88" s="75"/>
      <c r="BL88" s="75">
        <f t="shared" si="117"/>
        <v>0</v>
      </c>
      <c r="BM88" s="75">
        <f t="shared" si="118"/>
        <v>0</v>
      </c>
      <c r="BN88" s="75"/>
      <c r="BO88" s="75">
        <f t="shared" si="146"/>
        <v>0</v>
      </c>
      <c r="BP88" s="75">
        <f t="shared" si="138"/>
        <v>0</v>
      </c>
      <c r="BQ88" s="75"/>
      <c r="BR88" s="75">
        <f t="shared" si="141"/>
        <v>0</v>
      </c>
      <c r="BS88" s="75">
        <f t="shared" si="142"/>
        <v>0</v>
      </c>
      <c r="BT88" s="75">
        <f t="shared" si="143"/>
        <v>0</v>
      </c>
      <c r="BU88" s="75">
        <f t="shared" si="147"/>
        <v>0</v>
      </c>
      <c r="BV88" s="75">
        <f t="shared" si="144"/>
        <v>0</v>
      </c>
      <c r="BW88" s="75">
        <f t="shared" si="145"/>
        <v>0</v>
      </c>
      <c r="BX88" s="75"/>
      <c r="BY88" s="75"/>
      <c r="BZ88" s="75">
        <f t="shared" si="120"/>
        <v>0</v>
      </c>
      <c r="CA88" s="25">
        <f t="shared" si="121"/>
        <v>0</v>
      </c>
      <c r="CB88" s="75">
        <f t="shared" si="122"/>
        <v>0</v>
      </c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25">
        <f t="shared" si="123"/>
        <v>1</v>
      </c>
      <c r="CX88" s="75">
        <f t="shared" si="124"/>
        <v>23014856</v>
      </c>
      <c r="CY88" s="75"/>
      <c r="CZ88" s="75">
        <f>O88-CD88</f>
        <v>0</v>
      </c>
      <c r="DA88" s="75">
        <f>P88-CE88</f>
        <v>0</v>
      </c>
      <c r="DB88" s="75">
        <f t="shared" si="125"/>
        <v>0</v>
      </c>
      <c r="DC88" s="75"/>
      <c r="DD88" s="75">
        <f t="shared" si="126"/>
        <v>0</v>
      </c>
      <c r="DE88" s="75">
        <f t="shared" si="127"/>
        <v>23014856</v>
      </c>
      <c r="DF88" s="75"/>
      <c r="DG88" s="75">
        <f t="shared" si="128"/>
        <v>0</v>
      </c>
      <c r="DH88" s="75">
        <f t="shared" si="129"/>
        <v>0</v>
      </c>
      <c r="DI88" s="75"/>
      <c r="DJ88" s="75">
        <f t="shared" si="130"/>
        <v>0</v>
      </c>
      <c r="DK88" s="75">
        <f t="shared" si="131"/>
        <v>0</v>
      </c>
      <c r="DL88" s="75">
        <f t="shared" si="132"/>
        <v>0</v>
      </c>
      <c r="DM88" s="75">
        <f t="shared" si="133"/>
        <v>0</v>
      </c>
      <c r="DN88" s="75">
        <f t="shared" si="134"/>
        <v>0</v>
      </c>
      <c r="DO88" s="75">
        <f t="shared" si="135"/>
        <v>0</v>
      </c>
      <c r="DP88" s="75">
        <f t="shared" si="136"/>
        <v>0</v>
      </c>
      <c r="DQ88" s="75"/>
      <c r="DR88" s="75">
        <f t="shared" si="137"/>
        <v>0</v>
      </c>
    </row>
    <row r="89" spans="1:122" ht="36.75" customHeight="1" x14ac:dyDescent="0.25">
      <c r="A89" s="242"/>
      <c r="B89" s="81" t="s">
        <v>246</v>
      </c>
      <c r="C89" s="82" t="s">
        <v>245</v>
      </c>
      <c r="D89" s="81" t="s">
        <v>244</v>
      </c>
      <c r="E89" s="97">
        <v>520</v>
      </c>
      <c r="F89" s="78" t="s">
        <v>243</v>
      </c>
      <c r="G89" s="227">
        <v>150000000</v>
      </c>
      <c r="H89" s="79">
        <f t="shared" si="108"/>
        <v>0</v>
      </c>
      <c r="I89" s="79">
        <f t="shared" si="109"/>
        <v>40000000</v>
      </c>
      <c r="J89" s="78"/>
      <c r="K89" s="78"/>
      <c r="L89" s="78"/>
      <c r="M89" s="75">
        <f t="shared" si="110"/>
        <v>40000000</v>
      </c>
      <c r="N89" s="45"/>
      <c r="O89" s="45"/>
      <c r="P89" s="45"/>
      <c r="Q89" s="75">
        <f>10000000-10000000</f>
        <v>0</v>
      </c>
      <c r="R89" s="75"/>
      <c r="S89" s="75">
        <v>30000000</v>
      </c>
      <c r="T89" s="75"/>
      <c r="U89" s="75"/>
      <c r="V89" s="75"/>
      <c r="W89" s="75"/>
      <c r="X89" s="75"/>
      <c r="Y89" s="75"/>
      <c r="Z89" s="75"/>
      <c r="AA89" s="75"/>
      <c r="AB89" s="75">
        <v>10000000</v>
      </c>
      <c r="AC89" s="75"/>
      <c r="AD89" s="75"/>
      <c r="AE89" s="75"/>
      <c r="AF89" s="75"/>
      <c r="AG89" s="75"/>
      <c r="AH89" s="113"/>
      <c r="AI89" s="25">
        <f t="shared" si="111"/>
        <v>1</v>
      </c>
      <c r="AJ89" s="75">
        <f t="shared" si="112"/>
        <v>40000000</v>
      </c>
      <c r="AK89" s="75"/>
      <c r="AL89" s="75"/>
      <c r="AM89" s="75"/>
      <c r="AN89" s="75"/>
      <c r="AO89" s="75"/>
      <c r="AP89" s="75">
        <f>+'[8]FEBRERO 2015'!$N$1172</f>
        <v>30000000</v>
      </c>
      <c r="AQ89" s="75"/>
      <c r="AR89" s="75"/>
      <c r="AS89" s="75"/>
      <c r="AT89" s="75"/>
      <c r="AU89" s="75"/>
      <c r="AV89" s="75"/>
      <c r="AW89" s="75"/>
      <c r="AX89" s="75"/>
      <c r="AY89" s="75">
        <f>+'[5]FEBRERO 2015'!$W$1245</f>
        <v>10000000</v>
      </c>
      <c r="AZ89" s="75"/>
      <c r="BA89" s="75"/>
      <c r="BB89" s="75"/>
      <c r="BC89" s="75"/>
      <c r="BD89" s="75"/>
      <c r="BE89" s="25">
        <f t="shared" si="148"/>
        <v>0</v>
      </c>
      <c r="BF89" s="75">
        <f t="shared" si="113"/>
        <v>0</v>
      </c>
      <c r="BG89" s="75">
        <f t="shared" si="114"/>
        <v>0</v>
      </c>
      <c r="BH89" s="75">
        <f t="shared" si="115"/>
        <v>0</v>
      </c>
      <c r="BI89" s="75"/>
      <c r="BJ89" s="75">
        <f t="shared" si="116"/>
        <v>0</v>
      </c>
      <c r="BK89" s="75"/>
      <c r="BL89" s="75">
        <f t="shared" si="117"/>
        <v>0</v>
      </c>
      <c r="BM89" s="75">
        <f t="shared" si="118"/>
        <v>0</v>
      </c>
      <c r="BN89" s="75"/>
      <c r="BO89" s="75">
        <f t="shared" si="146"/>
        <v>0</v>
      </c>
      <c r="BP89" s="75">
        <f t="shared" si="138"/>
        <v>0</v>
      </c>
      <c r="BQ89" s="75"/>
      <c r="BR89" s="75">
        <f t="shared" si="141"/>
        <v>0</v>
      </c>
      <c r="BS89" s="75">
        <f t="shared" si="142"/>
        <v>0</v>
      </c>
      <c r="BT89" s="75">
        <f t="shared" si="143"/>
        <v>0</v>
      </c>
      <c r="BU89" s="75">
        <f t="shared" si="147"/>
        <v>0</v>
      </c>
      <c r="BV89" s="75">
        <f t="shared" si="144"/>
        <v>0</v>
      </c>
      <c r="BW89" s="75">
        <f t="shared" si="145"/>
        <v>0</v>
      </c>
      <c r="BX89" s="75"/>
      <c r="BY89" s="75"/>
      <c r="BZ89" s="75">
        <f t="shared" si="120"/>
        <v>0</v>
      </c>
      <c r="CA89" s="25">
        <f t="shared" si="121"/>
        <v>0</v>
      </c>
      <c r="CB89" s="75">
        <f t="shared" si="122"/>
        <v>0</v>
      </c>
      <c r="CC89" s="75"/>
      <c r="CD89" s="75"/>
      <c r="CE89" s="75"/>
      <c r="CF89" s="75"/>
      <c r="CG89" s="75"/>
      <c r="CH89" s="75"/>
      <c r="CI89" s="75"/>
      <c r="CJ89" s="75"/>
      <c r="CK89" s="75"/>
      <c r="CL89" s="75"/>
      <c r="CM89" s="75"/>
      <c r="CN89" s="75"/>
      <c r="CO89" s="75"/>
      <c r="CP89" s="75"/>
      <c r="CQ89" s="75"/>
      <c r="CR89" s="75"/>
      <c r="CS89" s="75"/>
      <c r="CT89" s="75"/>
      <c r="CU89" s="75"/>
      <c r="CV89" s="75"/>
      <c r="CW89" s="25">
        <f t="shared" si="123"/>
        <v>1</v>
      </c>
      <c r="CX89" s="75">
        <f t="shared" si="124"/>
        <v>40000000</v>
      </c>
      <c r="CY89" s="75"/>
      <c r="CZ89" s="75"/>
      <c r="DA89" s="75"/>
      <c r="DB89" s="75">
        <f t="shared" si="125"/>
        <v>0</v>
      </c>
      <c r="DC89" s="75"/>
      <c r="DD89" s="75">
        <f t="shared" si="126"/>
        <v>30000000</v>
      </c>
      <c r="DE89" s="75">
        <f t="shared" si="127"/>
        <v>0</v>
      </c>
      <c r="DF89" s="75"/>
      <c r="DG89" s="75">
        <f t="shared" si="128"/>
        <v>0</v>
      </c>
      <c r="DH89" s="75">
        <f t="shared" si="129"/>
        <v>0</v>
      </c>
      <c r="DI89" s="75"/>
      <c r="DJ89" s="75">
        <f t="shared" si="130"/>
        <v>0</v>
      </c>
      <c r="DK89" s="75">
        <f t="shared" si="131"/>
        <v>0</v>
      </c>
      <c r="DL89" s="75">
        <f t="shared" si="132"/>
        <v>0</v>
      </c>
      <c r="DM89" s="75">
        <f t="shared" si="133"/>
        <v>10000000</v>
      </c>
      <c r="DN89" s="75">
        <f t="shared" si="134"/>
        <v>0</v>
      </c>
      <c r="DO89" s="75">
        <f t="shared" si="135"/>
        <v>0</v>
      </c>
      <c r="DP89" s="75">
        <f t="shared" si="136"/>
        <v>0</v>
      </c>
      <c r="DQ89" s="75"/>
      <c r="DR89" s="75">
        <f t="shared" si="137"/>
        <v>0</v>
      </c>
    </row>
    <row r="90" spans="1:122" ht="24" customHeight="1" x14ac:dyDescent="0.25">
      <c r="A90" s="242"/>
      <c r="B90" s="114"/>
      <c r="C90" s="82" t="s">
        <v>242</v>
      </c>
      <c r="D90" s="81" t="s">
        <v>241</v>
      </c>
      <c r="E90" s="97">
        <v>520</v>
      </c>
      <c r="F90" s="78" t="s">
        <v>214</v>
      </c>
      <c r="G90" s="228"/>
      <c r="H90" s="79">
        <f t="shared" si="108"/>
        <v>48739200</v>
      </c>
      <c r="I90" s="79">
        <f t="shared" si="109"/>
        <v>1260800</v>
      </c>
      <c r="J90" s="78"/>
      <c r="K90" s="78"/>
      <c r="L90" s="78"/>
      <c r="M90" s="75">
        <f t="shared" si="110"/>
        <v>50000000</v>
      </c>
      <c r="N90" s="45"/>
      <c r="O90" s="45"/>
      <c r="P90" s="45"/>
      <c r="Q90" s="75">
        <v>40000000</v>
      </c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>
        <v>10000000</v>
      </c>
      <c r="AC90" s="75"/>
      <c r="AD90" s="75"/>
      <c r="AE90" s="75"/>
      <c r="AF90" s="75"/>
      <c r="AG90" s="75"/>
      <c r="AH90" s="113"/>
      <c r="AI90" s="25">
        <f t="shared" si="111"/>
        <v>1</v>
      </c>
      <c r="AJ90" s="75">
        <f t="shared" si="112"/>
        <v>50000000</v>
      </c>
      <c r="AK90" s="75"/>
      <c r="AL90" s="75"/>
      <c r="AM90" s="75"/>
      <c r="AN90" s="75">
        <f>+'[3]ABRIL 2015'!$L$1730</f>
        <v>40000000</v>
      </c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>
        <f>+'[6]JUNIO 2015'!$X$2249</f>
        <v>10000000</v>
      </c>
      <c r="AZ90" s="75"/>
      <c r="BA90" s="75"/>
      <c r="BB90" s="75"/>
      <c r="BC90" s="75"/>
      <c r="BD90" s="75"/>
      <c r="BE90" s="25">
        <f t="shared" si="148"/>
        <v>0</v>
      </c>
      <c r="BF90" s="75">
        <f t="shared" si="113"/>
        <v>0</v>
      </c>
      <c r="BG90" s="75">
        <f t="shared" si="114"/>
        <v>0</v>
      </c>
      <c r="BH90" s="75">
        <f t="shared" si="115"/>
        <v>0</v>
      </c>
      <c r="BI90" s="75"/>
      <c r="BJ90" s="75">
        <f t="shared" si="116"/>
        <v>0</v>
      </c>
      <c r="BK90" s="75"/>
      <c r="BL90" s="75">
        <f t="shared" si="117"/>
        <v>0</v>
      </c>
      <c r="BM90" s="75">
        <f t="shared" si="118"/>
        <v>0</v>
      </c>
      <c r="BN90" s="75"/>
      <c r="BO90" s="75">
        <f t="shared" si="146"/>
        <v>0</v>
      </c>
      <c r="BP90" s="75">
        <f t="shared" si="138"/>
        <v>0</v>
      </c>
      <c r="BQ90" s="75"/>
      <c r="BR90" s="75">
        <f t="shared" si="141"/>
        <v>0</v>
      </c>
      <c r="BS90" s="75">
        <f t="shared" si="142"/>
        <v>0</v>
      </c>
      <c r="BT90" s="75">
        <f t="shared" si="143"/>
        <v>0</v>
      </c>
      <c r="BU90" s="75">
        <f t="shared" si="147"/>
        <v>0</v>
      </c>
      <c r="BV90" s="75">
        <f t="shared" si="144"/>
        <v>0</v>
      </c>
      <c r="BW90" s="75">
        <f t="shared" si="145"/>
        <v>0</v>
      </c>
      <c r="BX90" s="75"/>
      <c r="BY90" s="75"/>
      <c r="BZ90" s="75">
        <f t="shared" si="120"/>
        <v>0</v>
      </c>
      <c r="CA90" s="25">
        <f t="shared" si="121"/>
        <v>0.97478399999999998</v>
      </c>
      <c r="CB90" s="75">
        <f t="shared" si="122"/>
        <v>48739200</v>
      </c>
      <c r="CC90" s="75"/>
      <c r="CD90" s="75"/>
      <c r="CE90" s="75"/>
      <c r="CF90" s="75">
        <f>+'[6]JUNIO 2015'!$H$2252</f>
        <v>40000000</v>
      </c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>
        <f>+'[2]JULIO 2015'!$H$2631</f>
        <v>8739200</v>
      </c>
      <c r="CR90" s="75"/>
      <c r="CS90" s="75"/>
      <c r="CT90" s="75"/>
      <c r="CU90" s="75"/>
      <c r="CV90" s="75"/>
      <c r="CW90" s="25">
        <f t="shared" si="123"/>
        <v>2.5216000000000016E-2</v>
      </c>
      <c r="CX90" s="75">
        <f t="shared" si="124"/>
        <v>1260800</v>
      </c>
      <c r="CY90" s="75"/>
      <c r="CZ90" s="75"/>
      <c r="DA90" s="75"/>
      <c r="DB90" s="75">
        <f t="shared" si="125"/>
        <v>0</v>
      </c>
      <c r="DC90" s="75"/>
      <c r="DD90" s="75">
        <f t="shared" si="126"/>
        <v>0</v>
      </c>
      <c r="DE90" s="75">
        <f t="shared" si="127"/>
        <v>0</v>
      </c>
      <c r="DF90" s="75"/>
      <c r="DG90" s="75">
        <f t="shared" si="128"/>
        <v>0</v>
      </c>
      <c r="DH90" s="75">
        <f t="shared" si="129"/>
        <v>0</v>
      </c>
      <c r="DI90" s="75"/>
      <c r="DJ90" s="75">
        <f t="shared" si="130"/>
        <v>0</v>
      </c>
      <c r="DK90" s="75">
        <f t="shared" si="131"/>
        <v>0</v>
      </c>
      <c r="DL90" s="75">
        <f t="shared" si="132"/>
        <v>0</v>
      </c>
      <c r="DM90" s="75">
        <f t="shared" si="133"/>
        <v>1260800</v>
      </c>
      <c r="DN90" s="75">
        <f t="shared" si="134"/>
        <v>0</v>
      </c>
      <c r="DO90" s="75">
        <f t="shared" si="135"/>
        <v>0</v>
      </c>
      <c r="DP90" s="75">
        <f t="shared" si="136"/>
        <v>0</v>
      </c>
      <c r="DQ90" s="75"/>
      <c r="DR90" s="75">
        <f t="shared" si="137"/>
        <v>0</v>
      </c>
    </row>
    <row r="91" spans="1:122" ht="31.5" customHeight="1" x14ac:dyDescent="0.25">
      <c r="A91" s="242"/>
      <c r="B91" s="114"/>
      <c r="C91" s="82" t="s">
        <v>240</v>
      </c>
      <c r="D91" s="81" t="s">
        <v>239</v>
      </c>
      <c r="E91" s="97">
        <v>520</v>
      </c>
      <c r="F91" s="78" t="s">
        <v>214</v>
      </c>
      <c r="G91" s="228"/>
      <c r="H91" s="79">
        <f t="shared" si="108"/>
        <v>20000000</v>
      </c>
      <c r="I91" s="79">
        <f t="shared" si="109"/>
        <v>0</v>
      </c>
      <c r="J91" s="78"/>
      <c r="K91" s="78"/>
      <c r="L91" s="78"/>
      <c r="M91" s="75">
        <f t="shared" si="110"/>
        <v>20000000</v>
      </c>
      <c r="N91" s="45"/>
      <c r="O91" s="45"/>
      <c r="P91" s="45"/>
      <c r="Q91" s="75"/>
      <c r="R91" s="75"/>
      <c r="S91" s="75"/>
      <c r="T91" s="75">
        <f>30000000-10000000</f>
        <v>20000000</v>
      </c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113"/>
      <c r="AI91" s="25">
        <f t="shared" si="111"/>
        <v>1</v>
      </c>
      <c r="AJ91" s="75">
        <f t="shared" si="112"/>
        <v>20000000</v>
      </c>
      <c r="AK91" s="75"/>
      <c r="AL91" s="75"/>
      <c r="AM91" s="75"/>
      <c r="AN91" s="75"/>
      <c r="AO91" s="75"/>
      <c r="AP91" s="75"/>
      <c r="AQ91" s="75">
        <f>+'[4]MARZO 2015'!$O$1462</f>
        <v>20000000</v>
      </c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25">
        <f t="shared" si="148"/>
        <v>0</v>
      </c>
      <c r="BF91" s="75">
        <f t="shared" si="113"/>
        <v>0</v>
      </c>
      <c r="BG91" s="75">
        <f t="shared" si="114"/>
        <v>0</v>
      </c>
      <c r="BH91" s="75">
        <f t="shared" si="115"/>
        <v>0</v>
      </c>
      <c r="BI91" s="75"/>
      <c r="BJ91" s="75">
        <f t="shared" si="116"/>
        <v>0</v>
      </c>
      <c r="BK91" s="75"/>
      <c r="BL91" s="75">
        <f t="shared" si="117"/>
        <v>0</v>
      </c>
      <c r="BM91" s="75">
        <f t="shared" si="118"/>
        <v>0</v>
      </c>
      <c r="BN91" s="75"/>
      <c r="BO91" s="75">
        <f t="shared" si="146"/>
        <v>0</v>
      </c>
      <c r="BP91" s="75">
        <f t="shared" si="138"/>
        <v>0</v>
      </c>
      <c r="BQ91" s="75"/>
      <c r="BR91" s="75">
        <f t="shared" si="141"/>
        <v>0</v>
      </c>
      <c r="BS91" s="75">
        <f t="shared" si="142"/>
        <v>0</v>
      </c>
      <c r="BT91" s="75">
        <f t="shared" si="143"/>
        <v>0</v>
      </c>
      <c r="BU91" s="75">
        <f t="shared" si="147"/>
        <v>0</v>
      </c>
      <c r="BV91" s="75">
        <f t="shared" si="144"/>
        <v>0</v>
      </c>
      <c r="BW91" s="75">
        <f t="shared" si="145"/>
        <v>0</v>
      </c>
      <c r="BX91" s="75"/>
      <c r="BY91" s="75"/>
      <c r="BZ91" s="75">
        <f t="shared" si="120"/>
        <v>0</v>
      </c>
      <c r="CA91" s="25">
        <f t="shared" si="121"/>
        <v>1</v>
      </c>
      <c r="CB91" s="75">
        <f t="shared" si="122"/>
        <v>20000000</v>
      </c>
      <c r="CC91" s="75"/>
      <c r="CD91" s="75"/>
      <c r="CE91" s="75"/>
      <c r="CF91" s="75"/>
      <c r="CG91" s="75"/>
      <c r="CH91" s="75"/>
      <c r="CI91" s="75">
        <f>+'[4]MARZO 2015'!$O$1463</f>
        <v>20000000</v>
      </c>
      <c r="CJ91" s="75"/>
      <c r="CK91" s="75"/>
      <c r="CL91" s="75"/>
      <c r="CM91" s="75"/>
      <c r="CN91" s="75"/>
      <c r="CO91" s="75"/>
      <c r="CP91" s="75"/>
      <c r="CQ91" s="75"/>
      <c r="CR91" s="75"/>
      <c r="CS91" s="75"/>
      <c r="CT91" s="75"/>
      <c r="CU91" s="75"/>
      <c r="CV91" s="75"/>
      <c r="CW91" s="25">
        <f t="shared" si="123"/>
        <v>0</v>
      </c>
      <c r="CX91" s="75">
        <f t="shared" si="124"/>
        <v>0</v>
      </c>
      <c r="CY91" s="75"/>
      <c r="CZ91" s="75"/>
      <c r="DA91" s="75"/>
      <c r="DB91" s="75">
        <f t="shared" si="125"/>
        <v>0</v>
      </c>
      <c r="DC91" s="75"/>
      <c r="DD91" s="75">
        <f t="shared" si="126"/>
        <v>0</v>
      </c>
      <c r="DE91" s="75">
        <f t="shared" si="127"/>
        <v>0</v>
      </c>
      <c r="DF91" s="75"/>
      <c r="DG91" s="75">
        <f t="shared" si="128"/>
        <v>0</v>
      </c>
      <c r="DH91" s="75">
        <f t="shared" si="129"/>
        <v>0</v>
      </c>
      <c r="DI91" s="75"/>
      <c r="DJ91" s="75">
        <f t="shared" si="130"/>
        <v>0</v>
      </c>
      <c r="DK91" s="75">
        <f t="shared" si="131"/>
        <v>0</v>
      </c>
      <c r="DL91" s="75">
        <f t="shared" si="132"/>
        <v>0</v>
      </c>
      <c r="DM91" s="75">
        <f t="shared" si="133"/>
        <v>0</v>
      </c>
      <c r="DN91" s="75">
        <f t="shared" si="134"/>
        <v>0</v>
      </c>
      <c r="DO91" s="75">
        <f t="shared" si="135"/>
        <v>0</v>
      </c>
      <c r="DP91" s="75">
        <f t="shared" si="136"/>
        <v>0</v>
      </c>
      <c r="DQ91" s="75"/>
      <c r="DR91" s="75">
        <f t="shared" si="137"/>
        <v>0</v>
      </c>
    </row>
    <row r="92" spans="1:122" ht="30.75" customHeight="1" x14ac:dyDescent="0.25">
      <c r="A92" s="242"/>
      <c r="B92" s="114"/>
      <c r="C92" s="82" t="s">
        <v>238</v>
      </c>
      <c r="D92" s="81" t="s">
        <v>237</v>
      </c>
      <c r="E92" s="97">
        <v>520</v>
      </c>
      <c r="F92" s="78" t="s">
        <v>214</v>
      </c>
      <c r="G92" s="229"/>
      <c r="H92" s="79">
        <f t="shared" si="108"/>
        <v>11809333</v>
      </c>
      <c r="I92" s="79">
        <f t="shared" si="109"/>
        <v>28190667</v>
      </c>
      <c r="J92" s="78"/>
      <c r="K92" s="78"/>
      <c r="L92" s="78"/>
      <c r="M92" s="75">
        <f t="shared" si="110"/>
        <v>40000000</v>
      </c>
      <c r="N92" s="45"/>
      <c r="O92" s="45"/>
      <c r="P92" s="45"/>
      <c r="Q92" s="75">
        <v>10000000</v>
      </c>
      <c r="R92" s="75"/>
      <c r="S92" s="75">
        <v>30000000</v>
      </c>
      <c r="T92" s="75">
        <f>10000000-10000000</f>
        <v>0</v>
      </c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113"/>
      <c r="AI92" s="25">
        <f t="shared" si="111"/>
        <v>1</v>
      </c>
      <c r="AJ92" s="75">
        <f t="shared" si="112"/>
        <v>40000000</v>
      </c>
      <c r="AK92" s="75"/>
      <c r="AL92" s="75"/>
      <c r="AM92" s="75"/>
      <c r="AN92" s="75">
        <f>+'[3]ABRIL 2015'!$L$1744</f>
        <v>10000000</v>
      </c>
      <c r="AO92" s="75"/>
      <c r="AP92" s="75">
        <f>+'[8]FEBRERO 2015'!$N$1187</f>
        <v>30000000</v>
      </c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25">
        <f t="shared" si="148"/>
        <v>0</v>
      </c>
      <c r="BF92" s="75">
        <f t="shared" si="113"/>
        <v>0</v>
      </c>
      <c r="BG92" s="75">
        <f t="shared" si="114"/>
        <v>0</v>
      </c>
      <c r="BH92" s="75">
        <f t="shared" si="115"/>
        <v>0</v>
      </c>
      <c r="BI92" s="75"/>
      <c r="BJ92" s="75">
        <f t="shared" si="116"/>
        <v>0</v>
      </c>
      <c r="BK92" s="75"/>
      <c r="BL92" s="75">
        <f t="shared" si="117"/>
        <v>0</v>
      </c>
      <c r="BM92" s="75">
        <f t="shared" si="118"/>
        <v>0</v>
      </c>
      <c r="BN92" s="75"/>
      <c r="BO92" s="75">
        <f t="shared" si="146"/>
        <v>0</v>
      </c>
      <c r="BP92" s="75">
        <f t="shared" si="138"/>
        <v>0</v>
      </c>
      <c r="BQ92" s="75"/>
      <c r="BR92" s="75">
        <f t="shared" si="141"/>
        <v>0</v>
      </c>
      <c r="BS92" s="75">
        <f t="shared" si="142"/>
        <v>0</v>
      </c>
      <c r="BT92" s="75">
        <f t="shared" si="143"/>
        <v>0</v>
      </c>
      <c r="BU92" s="75">
        <f t="shared" si="147"/>
        <v>0</v>
      </c>
      <c r="BV92" s="75">
        <f t="shared" si="144"/>
        <v>0</v>
      </c>
      <c r="BW92" s="75">
        <f t="shared" si="145"/>
        <v>0</v>
      </c>
      <c r="BX92" s="75"/>
      <c r="BY92" s="75"/>
      <c r="BZ92" s="75">
        <f t="shared" si="120"/>
        <v>0</v>
      </c>
      <c r="CA92" s="25">
        <f t="shared" si="121"/>
        <v>0.29523332499999999</v>
      </c>
      <c r="CB92" s="75">
        <f t="shared" si="122"/>
        <v>11809333</v>
      </c>
      <c r="CC92" s="75"/>
      <c r="CD92" s="75"/>
      <c r="CE92" s="75"/>
      <c r="CF92" s="75"/>
      <c r="CG92" s="75"/>
      <c r="CH92" s="75">
        <f>+'[1]AGOSTO 2015'!$H$2986</f>
        <v>11809333</v>
      </c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25">
        <f t="shared" si="123"/>
        <v>0.70476667500000001</v>
      </c>
      <c r="CX92" s="75">
        <f t="shared" si="124"/>
        <v>28190667</v>
      </c>
      <c r="CY92" s="75"/>
      <c r="CZ92" s="75"/>
      <c r="DA92" s="75"/>
      <c r="DB92" s="75">
        <f t="shared" si="125"/>
        <v>10000000</v>
      </c>
      <c r="DC92" s="75"/>
      <c r="DD92" s="75">
        <f t="shared" si="126"/>
        <v>18190667</v>
      </c>
      <c r="DE92" s="75">
        <f t="shared" si="127"/>
        <v>0</v>
      </c>
      <c r="DF92" s="75"/>
      <c r="DG92" s="75">
        <f t="shared" si="128"/>
        <v>0</v>
      </c>
      <c r="DH92" s="75">
        <f t="shared" si="129"/>
        <v>0</v>
      </c>
      <c r="DI92" s="75"/>
      <c r="DJ92" s="75">
        <f t="shared" si="130"/>
        <v>0</v>
      </c>
      <c r="DK92" s="75">
        <f t="shared" si="131"/>
        <v>0</v>
      </c>
      <c r="DL92" s="75">
        <f t="shared" si="132"/>
        <v>0</v>
      </c>
      <c r="DM92" s="75">
        <f t="shared" si="133"/>
        <v>0</v>
      </c>
      <c r="DN92" s="75">
        <f t="shared" si="134"/>
        <v>0</v>
      </c>
      <c r="DO92" s="75">
        <f t="shared" si="135"/>
        <v>0</v>
      </c>
      <c r="DP92" s="75">
        <f t="shared" si="136"/>
        <v>0</v>
      </c>
      <c r="DQ92" s="75"/>
      <c r="DR92" s="75">
        <f t="shared" si="137"/>
        <v>0</v>
      </c>
    </row>
    <row r="93" spans="1:122" ht="28.5" customHeight="1" x14ac:dyDescent="0.25">
      <c r="A93" s="242"/>
      <c r="B93" s="81" t="s">
        <v>236</v>
      </c>
      <c r="C93" s="82" t="s">
        <v>235</v>
      </c>
      <c r="D93" s="81" t="s">
        <v>234</v>
      </c>
      <c r="E93" s="97">
        <v>520</v>
      </c>
      <c r="F93" s="78" t="s">
        <v>214</v>
      </c>
      <c r="G93" s="227">
        <v>20000000</v>
      </c>
      <c r="H93" s="79">
        <f t="shared" si="108"/>
        <v>7792400</v>
      </c>
      <c r="I93" s="79">
        <f t="shared" si="109"/>
        <v>2207600</v>
      </c>
      <c r="J93" s="78"/>
      <c r="K93" s="78"/>
      <c r="L93" s="78"/>
      <c r="M93" s="75">
        <f t="shared" si="110"/>
        <v>10000000</v>
      </c>
      <c r="N93" s="45"/>
      <c r="O93" s="45"/>
      <c r="P93" s="45"/>
      <c r="Q93" s="75"/>
      <c r="R93" s="75"/>
      <c r="S93" s="75">
        <v>10000000</v>
      </c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113"/>
      <c r="AI93" s="25">
        <f t="shared" si="111"/>
        <v>1</v>
      </c>
      <c r="AJ93" s="75">
        <f t="shared" si="112"/>
        <v>10000000</v>
      </c>
      <c r="AK93" s="75"/>
      <c r="AL93" s="75"/>
      <c r="AM93" s="75"/>
      <c r="AN93" s="75"/>
      <c r="AO93" s="75"/>
      <c r="AP93" s="75">
        <f>+'[8]FEBRERO 2015'!$G$1192</f>
        <v>10000000</v>
      </c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25">
        <f t="shared" si="148"/>
        <v>0</v>
      </c>
      <c r="BF93" s="75">
        <f t="shared" si="113"/>
        <v>0</v>
      </c>
      <c r="BG93" s="75">
        <f t="shared" si="114"/>
        <v>0</v>
      </c>
      <c r="BH93" s="75">
        <f t="shared" si="115"/>
        <v>0</v>
      </c>
      <c r="BI93" s="75"/>
      <c r="BJ93" s="75">
        <f t="shared" si="116"/>
        <v>0</v>
      </c>
      <c r="BK93" s="75"/>
      <c r="BL93" s="75">
        <f t="shared" si="117"/>
        <v>0</v>
      </c>
      <c r="BM93" s="75">
        <f t="shared" si="118"/>
        <v>0</v>
      </c>
      <c r="BN93" s="75"/>
      <c r="BO93" s="75">
        <f t="shared" si="146"/>
        <v>0</v>
      </c>
      <c r="BP93" s="75">
        <f t="shared" si="138"/>
        <v>0</v>
      </c>
      <c r="BQ93" s="75"/>
      <c r="BR93" s="75">
        <f t="shared" si="141"/>
        <v>0</v>
      </c>
      <c r="BS93" s="75">
        <f t="shared" si="142"/>
        <v>0</v>
      </c>
      <c r="BT93" s="75">
        <f t="shared" si="143"/>
        <v>0</v>
      </c>
      <c r="BU93" s="75">
        <f t="shared" si="147"/>
        <v>0</v>
      </c>
      <c r="BV93" s="75">
        <f t="shared" si="144"/>
        <v>0</v>
      </c>
      <c r="BW93" s="75">
        <f t="shared" si="145"/>
        <v>0</v>
      </c>
      <c r="BX93" s="75"/>
      <c r="BY93" s="75"/>
      <c r="BZ93" s="75">
        <f t="shared" si="120"/>
        <v>0</v>
      </c>
      <c r="CA93" s="25">
        <f t="shared" si="121"/>
        <v>0.77924000000000004</v>
      </c>
      <c r="CB93" s="75">
        <f t="shared" si="122"/>
        <v>7792400</v>
      </c>
      <c r="CC93" s="75"/>
      <c r="CD93" s="75"/>
      <c r="CE93" s="75"/>
      <c r="CF93" s="75"/>
      <c r="CG93" s="75"/>
      <c r="CH93" s="75">
        <f>+'[2]JULIO 2015'!$H$2656</f>
        <v>7792400</v>
      </c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25">
        <f t="shared" si="123"/>
        <v>0.22075999999999996</v>
      </c>
      <c r="CX93" s="75">
        <f t="shared" si="124"/>
        <v>2207600</v>
      </c>
      <c r="CY93" s="75"/>
      <c r="CZ93" s="75"/>
      <c r="DA93" s="75"/>
      <c r="DB93" s="75">
        <f t="shared" si="125"/>
        <v>0</v>
      </c>
      <c r="DC93" s="75"/>
      <c r="DD93" s="75">
        <f t="shared" si="126"/>
        <v>2207600</v>
      </c>
      <c r="DE93" s="75">
        <f t="shared" si="127"/>
        <v>0</v>
      </c>
      <c r="DF93" s="75"/>
      <c r="DG93" s="75">
        <f t="shared" si="128"/>
        <v>0</v>
      </c>
      <c r="DH93" s="75">
        <f t="shared" si="129"/>
        <v>0</v>
      </c>
      <c r="DI93" s="75"/>
      <c r="DJ93" s="75">
        <f t="shared" si="130"/>
        <v>0</v>
      </c>
      <c r="DK93" s="75">
        <f t="shared" si="131"/>
        <v>0</v>
      </c>
      <c r="DL93" s="75">
        <f t="shared" si="132"/>
        <v>0</v>
      </c>
      <c r="DM93" s="75">
        <f t="shared" si="133"/>
        <v>0</v>
      </c>
      <c r="DN93" s="75">
        <f t="shared" si="134"/>
        <v>0</v>
      </c>
      <c r="DO93" s="75">
        <f t="shared" si="135"/>
        <v>0</v>
      </c>
      <c r="DP93" s="75">
        <f t="shared" si="136"/>
        <v>0</v>
      </c>
      <c r="DQ93" s="75"/>
      <c r="DR93" s="75">
        <f t="shared" si="137"/>
        <v>0</v>
      </c>
    </row>
    <row r="94" spans="1:122" ht="25.5" customHeight="1" x14ac:dyDescent="0.25">
      <c r="A94" s="242"/>
      <c r="B94" s="81"/>
      <c r="C94" s="82" t="s">
        <v>233</v>
      </c>
      <c r="D94" s="81" t="s">
        <v>232</v>
      </c>
      <c r="E94" s="97">
        <v>520</v>
      </c>
      <c r="F94" s="78" t="s">
        <v>214</v>
      </c>
      <c r="G94" s="229"/>
      <c r="H94" s="79">
        <f t="shared" si="108"/>
        <v>0</v>
      </c>
      <c r="I94" s="79">
        <f t="shared" si="109"/>
        <v>10000000</v>
      </c>
      <c r="J94" s="78"/>
      <c r="K94" s="78"/>
      <c r="L94" s="78"/>
      <c r="M94" s="75">
        <f t="shared" si="110"/>
        <v>10000000</v>
      </c>
      <c r="N94" s="45"/>
      <c r="O94" s="45"/>
      <c r="P94" s="45"/>
      <c r="Q94" s="45"/>
      <c r="R94" s="45"/>
      <c r="S94" s="75">
        <v>10000000</v>
      </c>
      <c r="T94" s="45"/>
      <c r="U94" s="45"/>
      <c r="V94" s="45"/>
      <c r="W94" s="45"/>
      <c r="X94" s="45"/>
      <c r="Y94" s="24"/>
      <c r="Z94" s="45"/>
      <c r="AA94" s="45"/>
      <c r="AB94" s="45"/>
      <c r="AC94" s="45"/>
      <c r="AD94" s="45"/>
      <c r="AE94" s="45"/>
      <c r="AF94" s="45"/>
      <c r="AG94" s="116"/>
      <c r="AH94" s="113"/>
      <c r="AI94" s="25">
        <f t="shared" si="111"/>
        <v>1</v>
      </c>
      <c r="AJ94" s="75">
        <f t="shared" si="112"/>
        <v>10000000</v>
      </c>
      <c r="AK94" s="75"/>
      <c r="AL94" s="75"/>
      <c r="AM94" s="75"/>
      <c r="AN94" s="75"/>
      <c r="AO94" s="75"/>
      <c r="AP94" s="75">
        <f>+'[8]FEBRERO 2015'!$N$1199</f>
        <v>10000000</v>
      </c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25">
        <f t="shared" si="148"/>
        <v>0</v>
      </c>
      <c r="BF94" s="75">
        <f t="shared" si="113"/>
        <v>0</v>
      </c>
      <c r="BG94" s="75">
        <f t="shared" si="114"/>
        <v>0</v>
      </c>
      <c r="BH94" s="75">
        <f t="shared" si="115"/>
        <v>0</v>
      </c>
      <c r="BI94" s="75"/>
      <c r="BJ94" s="75">
        <f t="shared" si="116"/>
        <v>0</v>
      </c>
      <c r="BK94" s="75"/>
      <c r="BL94" s="75">
        <f t="shared" si="117"/>
        <v>0</v>
      </c>
      <c r="BM94" s="75">
        <f t="shared" si="118"/>
        <v>0</v>
      </c>
      <c r="BN94" s="75"/>
      <c r="BO94" s="75">
        <f t="shared" si="146"/>
        <v>0</v>
      </c>
      <c r="BP94" s="75">
        <f t="shared" si="138"/>
        <v>0</v>
      </c>
      <c r="BQ94" s="75"/>
      <c r="BR94" s="75">
        <f t="shared" si="141"/>
        <v>0</v>
      </c>
      <c r="BS94" s="75">
        <f t="shared" si="142"/>
        <v>0</v>
      </c>
      <c r="BT94" s="75">
        <f t="shared" si="143"/>
        <v>0</v>
      </c>
      <c r="BU94" s="75">
        <f t="shared" si="147"/>
        <v>0</v>
      </c>
      <c r="BV94" s="75">
        <f t="shared" si="144"/>
        <v>0</v>
      </c>
      <c r="BW94" s="75">
        <f t="shared" si="145"/>
        <v>0</v>
      </c>
      <c r="BX94" s="75"/>
      <c r="BY94" s="75"/>
      <c r="BZ94" s="75">
        <f t="shared" si="120"/>
        <v>0</v>
      </c>
      <c r="CA94" s="25">
        <f t="shared" si="121"/>
        <v>0</v>
      </c>
      <c r="CB94" s="75">
        <f t="shared" si="122"/>
        <v>0</v>
      </c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25">
        <f t="shared" si="123"/>
        <v>1</v>
      </c>
      <c r="CX94" s="75">
        <f t="shared" si="124"/>
        <v>10000000</v>
      </c>
      <c r="CY94" s="75"/>
      <c r="CZ94" s="75"/>
      <c r="DA94" s="75"/>
      <c r="DB94" s="75">
        <f t="shared" si="125"/>
        <v>0</v>
      </c>
      <c r="DC94" s="75"/>
      <c r="DD94" s="75">
        <f t="shared" si="126"/>
        <v>10000000</v>
      </c>
      <c r="DE94" s="75">
        <f t="shared" si="127"/>
        <v>0</v>
      </c>
      <c r="DF94" s="75"/>
      <c r="DG94" s="75">
        <f t="shared" si="128"/>
        <v>0</v>
      </c>
      <c r="DH94" s="75">
        <f t="shared" si="129"/>
        <v>0</v>
      </c>
      <c r="DI94" s="75"/>
      <c r="DJ94" s="75">
        <f t="shared" si="130"/>
        <v>0</v>
      </c>
      <c r="DK94" s="75">
        <f t="shared" si="131"/>
        <v>0</v>
      </c>
      <c r="DL94" s="75">
        <f t="shared" si="132"/>
        <v>0</v>
      </c>
      <c r="DM94" s="75">
        <f t="shared" si="133"/>
        <v>0</v>
      </c>
      <c r="DN94" s="75">
        <f t="shared" si="134"/>
        <v>0</v>
      </c>
      <c r="DO94" s="75">
        <f t="shared" si="135"/>
        <v>0</v>
      </c>
      <c r="DP94" s="75">
        <f t="shared" si="136"/>
        <v>0</v>
      </c>
      <c r="DQ94" s="75"/>
      <c r="DR94" s="75">
        <f t="shared" si="137"/>
        <v>0</v>
      </c>
    </row>
    <row r="95" spans="1:122" ht="36" customHeight="1" x14ac:dyDescent="0.25">
      <c r="A95" s="242"/>
      <c r="B95" s="81" t="s">
        <v>231</v>
      </c>
      <c r="C95" s="82" t="s">
        <v>230</v>
      </c>
      <c r="D95" s="81" t="s">
        <v>229</v>
      </c>
      <c r="E95" s="97">
        <v>520</v>
      </c>
      <c r="F95" s="78" t="s">
        <v>214</v>
      </c>
      <c r="G95" s="227">
        <v>150000000</v>
      </c>
      <c r="H95" s="79">
        <f t="shared" si="108"/>
        <v>0</v>
      </c>
      <c r="I95" s="79">
        <f t="shared" si="109"/>
        <v>15000000</v>
      </c>
      <c r="J95" s="78"/>
      <c r="K95" s="78"/>
      <c r="L95" s="78"/>
      <c r="M95" s="75">
        <f t="shared" si="110"/>
        <v>15000000</v>
      </c>
      <c r="N95" s="45"/>
      <c r="O95" s="45">
        <f>15000000-15000000</f>
        <v>0</v>
      </c>
      <c r="P95" s="45"/>
      <c r="Q95" s="45"/>
      <c r="R95" s="45"/>
      <c r="S95" s="115">
        <f>15000000</f>
        <v>15000000</v>
      </c>
      <c r="T95" s="45"/>
      <c r="U95" s="45"/>
      <c r="V95" s="45"/>
      <c r="W95" s="45"/>
      <c r="X95" s="45"/>
      <c r="Y95" s="24"/>
      <c r="Z95" s="45"/>
      <c r="AA95" s="45"/>
      <c r="AB95" s="45"/>
      <c r="AC95" s="45"/>
      <c r="AD95" s="45"/>
      <c r="AE95" s="45"/>
      <c r="AF95" s="45"/>
      <c r="AG95" s="116"/>
      <c r="AH95" s="113"/>
      <c r="AI95" s="25">
        <f t="shared" si="111"/>
        <v>1</v>
      </c>
      <c r="AJ95" s="75">
        <f t="shared" si="112"/>
        <v>15000000</v>
      </c>
      <c r="AK95" s="75"/>
      <c r="AL95" s="75"/>
      <c r="AM95" s="75"/>
      <c r="AN95" s="75"/>
      <c r="AO95" s="75"/>
      <c r="AP95" s="75">
        <f>+'[5]FEBRERO 2015'!$N$1280</f>
        <v>15000000</v>
      </c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25">
        <f t="shared" si="148"/>
        <v>0</v>
      </c>
      <c r="BF95" s="75">
        <f t="shared" si="113"/>
        <v>0</v>
      </c>
      <c r="BG95" s="75">
        <f t="shared" si="114"/>
        <v>0</v>
      </c>
      <c r="BH95" s="75">
        <f t="shared" si="115"/>
        <v>0</v>
      </c>
      <c r="BI95" s="75"/>
      <c r="BJ95" s="75">
        <f t="shared" si="116"/>
        <v>0</v>
      </c>
      <c r="BK95" s="75"/>
      <c r="BL95" s="75">
        <f t="shared" si="117"/>
        <v>0</v>
      </c>
      <c r="BM95" s="75">
        <f t="shared" si="118"/>
        <v>0</v>
      </c>
      <c r="BN95" s="75"/>
      <c r="BO95" s="75">
        <f t="shared" si="146"/>
        <v>0</v>
      </c>
      <c r="BP95" s="75">
        <f t="shared" si="138"/>
        <v>0</v>
      </c>
      <c r="BQ95" s="75"/>
      <c r="BR95" s="75">
        <f t="shared" si="141"/>
        <v>0</v>
      </c>
      <c r="BS95" s="75">
        <f t="shared" si="142"/>
        <v>0</v>
      </c>
      <c r="BT95" s="75">
        <f t="shared" si="143"/>
        <v>0</v>
      </c>
      <c r="BU95" s="75">
        <f t="shared" si="147"/>
        <v>0</v>
      </c>
      <c r="BV95" s="75">
        <f t="shared" si="144"/>
        <v>0</v>
      </c>
      <c r="BW95" s="75">
        <f t="shared" si="145"/>
        <v>0</v>
      </c>
      <c r="BX95" s="75"/>
      <c r="BY95" s="75"/>
      <c r="BZ95" s="75">
        <f t="shared" si="120"/>
        <v>0</v>
      </c>
      <c r="CA95" s="25">
        <f t="shared" si="121"/>
        <v>0</v>
      </c>
      <c r="CB95" s="75">
        <f t="shared" si="122"/>
        <v>0</v>
      </c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25">
        <f t="shared" si="123"/>
        <v>1</v>
      </c>
      <c r="CX95" s="75">
        <f t="shared" si="124"/>
        <v>15000000</v>
      </c>
      <c r="CY95" s="75"/>
      <c r="CZ95" s="75">
        <f>O95-CD95</f>
        <v>0</v>
      </c>
      <c r="DA95" s="75">
        <f>P95-CE95</f>
        <v>0</v>
      </c>
      <c r="DB95" s="75">
        <f t="shared" si="125"/>
        <v>0</v>
      </c>
      <c r="DC95" s="75"/>
      <c r="DD95" s="75">
        <f t="shared" si="126"/>
        <v>15000000</v>
      </c>
      <c r="DE95" s="75">
        <f t="shared" si="127"/>
        <v>0</v>
      </c>
      <c r="DF95" s="75"/>
      <c r="DG95" s="75">
        <f t="shared" si="128"/>
        <v>0</v>
      </c>
      <c r="DH95" s="75">
        <f t="shared" si="129"/>
        <v>0</v>
      </c>
      <c r="DI95" s="75"/>
      <c r="DJ95" s="75">
        <f t="shared" si="130"/>
        <v>0</v>
      </c>
      <c r="DK95" s="75">
        <f t="shared" si="131"/>
        <v>0</v>
      </c>
      <c r="DL95" s="75">
        <f t="shared" si="132"/>
        <v>0</v>
      </c>
      <c r="DM95" s="75">
        <f t="shared" si="133"/>
        <v>0</v>
      </c>
      <c r="DN95" s="75">
        <f t="shared" si="134"/>
        <v>0</v>
      </c>
      <c r="DO95" s="75">
        <f t="shared" si="135"/>
        <v>0</v>
      </c>
      <c r="DP95" s="75">
        <f t="shared" si="136"/>
        <v>0</v>
      </c>
      <c r="DQ95" s="75"/>
      <c r="DR95" s="75">
        <f t="shared" si="137"/>
        <v>0</v>
      </c>
    </row>
    <row r="96" spans="1:122" ht="35.25" customHeight="1" x14ac:dyDescent="0.25">
      <c r="A96" s="242"/>
      <c r="B96" s="81"/>
      <c r="C96" s="82" t="s">
        <v>228</v>
      </c>
      <c r="D96" s="81" t="s">
        <v>227</v>
      </c>
      <c r="E96" s="97">
        <v>520</v>
      </c>
      <c r="F96" s="78" t="s">
        <v>214</v>
      </c>
      <c r="G96" s="228"/>
      <c r="H96" s="79">
        <f t="shared" si="108"/>
        <v>21125500</v>
      </c>
      <c r="I96" s="79">
        <f t="shared" si="109"/>
        <v>8874500</v>
      </c>
      <c r="J96" s="78"/>
      <c r="K96" s="78"/>
      <c r="L96" s="78"/>
      <c r="M96" s="75">
        <f t="shared" si="110"/>
        <v>30000000</v>
      </c>
      <c r="N96" s="45"/>
      <c r="O96" s="45">
        <f>30000000-30000000</f>
        <v>0</v>
      </c>
      <c r="P96" s="45"/>
      <c r="Q96" s="45"/>
      <c r="R96" s="45"/>
      <c r="S96" s="115">
        <v>30000000</v>
      </c>
      <c r="T96" s="45"/>
      <c r="U96" s="45"/>
      <c r="V96" s="45"/>
      <c r="W96" s="45"/>
      <c r="X96" s="45"/>
      <c r="Y96" s="24"/>
      <c r="Z96" s="45"/>
      <c r="AA96" s="45"/>
      <c r="AB96" s="45"/>
      <c r="AC96" s="45"/>
      <c r="AD96" s="45"/>
      <c r="AE96" s="45"/>
      <c r="AF96" s="45"/>
      <c r="AG96" s="116"/>
      <c r="AH96" s="113"/>
      <c r="AI96" s="25">
        <f t="shared" si="111"/>
        <v>1</v>
      </c>
      <c r="AJ96" s="75">
        <f t="shared" si="112"/>
        <v>30000000</v>
      </c>
      <c r="AK96" s="75"/>
      <c r="AL96" s="75"/>
      <c r="AM96" s="75"/>
      <c r="AN96" s="75"/>
      <c r="AO96" s="75"/>
      <c r="AP96" s="75">
        <f>+'[5]FEBRERO 2015'!$N$1285</f>
        <v>30000000</v>
      </c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25">
        <f t="shared" si="148"/>
        <v>0</v>
      </c>
      <c r="BF96" s="75">
        <f t="shared" si="113"/>
        <v>0</v>
      </c>
      <c r="BG96" s="75">
        <f t="shared" si="114"/>
        <v>0</v>
      </c>
      <c r="BH96" s="75">
        <f t="shared" si="115"/>
        <v>0</v>
      </c>
      <c r="BI96" s="75"/>
      <c r="BJ96" s="75">
        <f t="shared" si="116"/>
        <v>0</v>
      </c>
      <c r="BK96" s="75"/>
      <c r="BL96" s="75">
        <f t="shared" si="117"/>
        <v>0</v>
      </c>
      <c r="BM96" s="75">
        <f t="shared" si="118"/>
        <v>0</v>
      </c>
      <c r="BN96" s="75"/>
      <c r="BO96" s="75">
        <f t="shared" si="146"/>
        <v>0</v>
      </c>
      <c r="BP96" s="75">
        <f t="shared" si="138"/>
        <v>0</v>
      </c>
      <c r="BQ96" s="75"/>
      <c r="BR96" s="75">
        <f t="shared" si="141"/>
        <v>0</v>
      </c>
      <c r="BS96" s="75">
        <f t="shared" si="142"/>
        <v>0</v>
      </c>
      <c r="BT96" s="75">
        <f t="shared" si="143"/>
        <v>0</v>
      </c>
      <c r="BU96" s="75">
        <f t="shared" si="147"/>
        <v>0</v>
      </c>
      <c r="BV96" s="75">
        <f t="shared" si="144"/>
        <v>0</v>
      </c>
      <c r="BW96" s="75">
        <f t="shared" si="145"/>
        <v>0</v>
      </c>
      <c r="BX96" s="75"/>
      <c r="BY96" s="75"/>
      <c r="BZ96" s="75">
        <f t="shared" si="120"/>
        <v>0</v>
      </c>
      <c r="CA96" s="25">
        <f t="shared" si="121"/>
        <v>0.70418333333333338</v>
      </c>
      <c r="CB96" s="75">
        <f t="shared" si="122"/>
        <v>21125500</v>
      </c>
      <c r="CC96" s="75"/>
      <c r="CD96" s="75"/>
      <c r="CE96" s="75"/>
      <c r="CF96" s="75"/>
      <c r="CG96" s="75"/>
      <c r="CH96" s="75">
        <f>+'[1]AGOSTO 2015'!$H$3018</f>
        <v>21125500</v>
      </c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25">
        <f t="shared" si="123"/>
        <v>0.29581666666666662</v>
      </c>
      <c r="CX96" s="75">
        <f t="shared" si="124"/>
        <v>8874500</v>
      </c>
      <c r="CY96" s="75"/>
      <c r="CZ96" s="75">
        <f>O96-CD96</f>
        <v>0</v>
      </c>
      <c r="DA96" s="75">
        <f>P96-CE96</f>
        <v>0</v>
      </c>
      <c r="DB96" s="75">
        <f t="shared" si="125"/>
        <v>0</v>
      </c>
      <c r="DC96" s="75"/>
      <c r="DD96" s="75">
        <f t="shared" si="126"/>
        <v>8874500</v>
      </c>
      <c r="DE96" s="75">
        <f t="shared" si="127"/>
        <v>0</v>
      </c>
      <c r="DF96" s="75"/>
      <c r="DG96" s="75">
        <f t="shared" si="128"/>
        <v>0</v>
      </c>
      <c r="DH96" s="75">
        <f t="shared" si="129"/>
        <v>0</v>
      </c>
      <c r="DI96" s="75"/>
      <c r="DJ96" s="75">
        <f t="shared" si="130"/>
        <v>0</v>
      </c>
      <c r="DK96" s="75">
        <f t="shared" si="131"/>
        <v>0</v>
      </c>
      <c r="DL96" s="75">
        <f t="shared" si="132"/>
        <v>0</v>
      </c>
      <c r="DM96" s="75">
        <f t="shared" si="133"/>
        <v>0</v>
      </c>
      <c r="DN96" s="75">
        <f t="shared" si="134"/>
        <v>0</v>
      </c>
      <c r="DO96" s="75">
        <f t="shared" si="135"/>
        <v>0</v>
      </c>
      <c r="DP96" s="75">
        <f t="shared" si="136"/>
        <v>0</v>
      </c>
      <c r="DQ96" s="75"/>
      <c r="DR96" s="75">
        <f t="shared" si="137"/>
        <v>0</v>
      </c>
    </row>
    <row r="97" spans="1:122" ht="34.5" customHeight="1" x14ac:dyDescent="0.25">
      <c r="A97" s="242"/>
      <c r="B97" s="81"/>
      <c r="C97" s="82" t="s">
        <v>226</v>
      </c>
      <c r="D97" s="81" t="s">
        <v>225</v>
      </c>
      <c r="E97" s="97">
        <v>520</v>
      </c>
      <c r="F97" s="78" t="s">
        <v>214</v>
      </c>
      <c r="G97" s="228"/>
      <c r="H97" s="79">
        <f t="shared" si="108"/>
        <v>0</v>
      </c>
      <c r="I97" s="79">
        <f t="shared" si="109"/>
        <v>20000000</v>
      </c>
      <c r="J97" s="78"/>
      <c r="K97" s="78"/>
      <c r="L97" s="78"/>
      <c r="M97" s="75">
        <f t="shared" si="110"/>
        <v>20000000</v>
      </c>
      <c r="N97" s="45"/>
      <c r="O97" s="45"/>
      <c r="P97" s="45"/>
      <c r="Q97" s="45"/>
      <c r="R97" s="45"/>
      <c r="S97" s="75">
        <f>50000000-30000000</f>
        <v>20000000</v>
      </c>
      <c r="T97" s="45"/>
      <c r="U97" s="45"/>
      <c r="V97" s="45"/>
      <c r="W97" s="45"/>
      <c r="X97" s="45"/>
      <c r="Y97" s="24"/>
      <c r="Z97" s="45"/>
      <c r="AA97" s="45"/>
      <c r="AB97" s="45"/>
      <c r="AC97" s="45"/>
      <c r="AD97" s="45"/>
      <c r="AE97" s="45"/>
      <c r="AF97" s="45"/>
      <c r="AG97" s="116"/>
      <c r="AH97" s="113"/>
      <c r="AI97" s="25">
        <f t="shared" si="111"/>
        <v>1</v>
      </c>
      <c r="AJ97" s="75">
        <f t="shared" si="112"/>
        <v>20000000</v>
      </c>
      <c r="AK97" s="75"/>
      <c r="AL97" s="75"/>
      <c r="AM97" s="75"/>
      <c r="AN97" s="75"/>
      <c r="AO97" s="75"/>
      <c r="AP97" s="75">
        <f>+'[8]FEBRERO 2015'!$N$1216-30000000</f>
        <v>20000000</v>
      </c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25">
        <f t="shared" si="148"/>
        <v>0</v>
      </c>
      <c r="BF97" s="75">
        <f t="shared" si="113"/>
        <v>0</v>
      </c>
      <c r="BG97" s="75">
        <f t="shared" si="114"/>
        <v>0</v>
      </c>
      <c r="BH97" s="75">
        <f t="shared" si="115"/>
        <v>0</v>
      </c>
      <c r="BI97" s="75"/>
      <c r="BJ97" s="75">
        <f t="shared" si="116"/>
        <v>0</v>
      </c>
      <c r="BK97" s="75"/>
      <c r="BL97" s="75">
        <f t="shared" si="117"/>
        <v>0</v>
      </c>
      <c r="BM97" s="75">
        <f t="shared" si="118"/>
        <v>0</v>
      </c>
      <c r="BN97" s="75"/>
      <c r="BO97" s="75">
        <f t="shared" si="146"/>
        <v>0</v>
      </c>
      <c r="BP97" s="75">
        <f t="shared" si="138"/>
        <v>0</v>
      </c>
      <c r="BQ97" s="75"/>
      <c r="BR97" s="75">
        <f t="shared" si="141"/>
        <v>0</v>
      </c>
      <c r="BS97" s="75">
        <f t="shared" si="142"/>
        <v>0</v>
      </c>
      <c r="BT97" s="75">
        <f t="shared" si="143"/>
        <v>0</v>
      </c>
      <c r="BU97" s="75">
        <f t="shared" si="147"/>
        <v>0</v>
      </c>
      <c r="BV97" s="75">
        <f t="shared" si="144"/>
        <v>0</v>
      </c>
      <c r="BW97" s="75">
        <f t="shared" si="145"/>
        <v>0</v>
      </c>
      <c r="BX97" s="75"/>
      <c r="BY97" s="75"/>
      <c r="BZ97" s="75">
        <f t="shared" si="120"/>
        <v>0</v>
      </c>
      <c r="CA97" s="25">
        <f t="shared" si="121"/>
        <v>0</v>
      </c>
      <c r="CB97" s="75">
        <f t="shared" si="122"/>
        <v>0</v>
      </c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25">
        <f t="shared" si="123"/>
        <v>1</v>
      </c>
      <c r="CX97" s="75">
        <f t="shared" si="124"/>
        <v>20000000</v>
      </c>
      <c r="CY97" s="75"/>
      <c r="CZ97" s="75"/>
      <c r="DA97" s="75"/>
      <c r="DB97" s="75">
        <f t="shared" si="125"/>
        <v>0</v>
      </c>
      <c r="DC97" s="75"/>
      <c r="DD97" s="75">
        <f t="shared" si="126"/>
        <v>20000000</v>
      </c>
      <c r="DE97" s="75">
        <f t="shared" si="127"/>
        <v>0</v>
      </c>
      <c r="DF97" s="75"/>
      <c r="DG97" s="75">
        <f t="shared" si="128"/>
        <v>0</v>
      </c>
      <c r="DH97" s="75">
        <f t="shared" si="129"/>
        <v>0</v>
      </c>
      <c r="DI97" s="75"/>
      <c r="DJ97" s="75">
        <f t="shared" si="130"/>
        <v>0</v>
      </c>
      <c r="DK97" s="75">
        <f t="shared" si="131"/>
        <v>0</v>
      </c>
      <c r="DL97" s="75">
        <f t="shared" si="132"/>
        <v>0</v>
      </c>
      <c r="DM97" s="75">
        <f t="shared" si="133"/>
        <v>0</v>
      </c>
      <c r="DN97" s="75">
        <f t="shared" si="134"/>
        <v>0</v>
      </c>
      <c r="DO97" s="75">
        <f t="shared" si="135"/>
        <v>0</v>
      </c>
      <c r="DP97" s="75">
        <f t="shared" si="136"/>
        <v>0</v>
      </c>
      <c r="DQ97" s="75"/>
      <c r="DR97" s="75">
        <f t="shared" si="137"/>
        <v>0</v>
      </c>
    </row>
    <row r="98" spans="1:122" ht="33.75" customHeight="1" x14ac:dyDescent="0.25">
      <c r="A98" s="242"/>
      <c r="B98" s="81"/>
      <c r="C98" s="82" t="s">
        <v>224</v>
      </c>
      <c r="D98" s="81" t="s">
        <v>223</v>
      </c>
      <c r="E98" s="97">
        <v>520</v>
      </c>
      <c r="F98" s="78" t="s">
        <v>214</v>
      </c>
      <c r="G98" s="229"/>
      <c r="H98" s="79">
        <f t="shared" si="108"/>
        <v>646074</v>
      </c>
      <c r="I98" s="79">
        <f t="shared" si="109"/>
        <v>24353926</v>
      </c>
      <c r="J98" s="78"/>
      <c r="K98" s="78"/>
      <c r="L98" s="78"/>
      <c r="M98" s="75">
        <f t="shared" si="110"/>
        <v>25000000</v>
      </c>
      <c r="N98" s="45"/>
      <c r="O98" s="45">
        <f>10819123-10819123</f>
        <v>0</v>
      </c>
      <c r="P98" s="45"/>
      <c r="Q98" s="45"/>
      <c r="R98" s="45"/>
      <c r="S98" s="115">
        <f>44180877+10819123-30000000</f>
        <v>25000000</v>
      </c>
      <c r="T98" s="45"/>
      <c r="U98" s="45"/>
      <c r="V98" s="45"/>
      <c r="W98" s="45"/>
      <c r="X98" s="45"/>
      <c r="Y98" s="24"/>
      <c r="Z98" s="45"/>
      <c r="AA98" s="45"/>
      <c r="AB98" s="75"/>
      <c r="AC98" s="75"/>
      <c r="AD98" s="75"/>
      <c r="AE98" s="75"/>
      <c r="AF98" s="75"/>
      <c r="AG98" s="75"/>
      <c r="AH98" s="113"/>
      <c r="AI98" s="25">
        <f t="shared" si="111"/>
        <v>0.56723508</v>
      </c>
      <c r="AJ98" s="75">
        <f t="shared" si="112"/>
        <v>14180877</v>
      </c>
      <c r="AK98" s="75"/>
      <c r="AL98" s="75"/>
      <c r="AM98" s="75"/>
      <c r="AN98" s="75"/>
      <c r="AO98" s="75"/>
      <c r="AP98" s="75">
        <f>+'[8]FEBRERO 2015'!$N$1221-30000000</f>
        <v>14180877</v>
      </c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25">
        <f t="shared" si="148"/>
        <v>0.43276492</v>
      </c>
      <c r="BF98" s="75">
        <f t="shared" si="113"/>
        <v>10819123</v>
      </c>
      <c r="BG98" s="75">
        <f t="shared" si="114"/>
        <v>0</v>
      </c>
      <c r="BH98" s="75">
        <f t="shared" si="115"/>
        <v>0</v>
      </c>
      <c r="BI98" s="75"/>
      <c r="BJ98" s="75">
        <f t="shared" si="116"/>
        <v>0</v>
      </c>
      <c r="BK98" s="75"/>
      <c r="BL98" s="75">
        <f t="shared" si="117"/>
        <v>10819123</v>
      </c>
      <c r="BM98" s="75">
        <f t="shared" si="118"/>
        <v>0</v>
      </c>
      <c r="BN98" s="75"/>
      <c r="BO98" s="75">
        <f t="shared" si="146"/>
        <v>0</v>
      </c>
      <c r="BP98" s="75">
        <f t="shared" si="138"/>
        <v>0</v>
      </c>
      <c r="BQ98" s="75"/>
      <c r="BR98" s="75">
        <f t="shared" si="141"/>
        <v>0</v>
      </c>
      <c r="BS98" s="75">
        <f t="shared" si="142"/>
        <v>0</v>
      </c>
      <c r="BT98" s="75">
        <f t="shared" si="143"/>
        <v>0</v>
      </c>
      <c r="BU98" s="75">
        <f t="shared" si="147"/>
        <v>0</v>
      </c>
      <c r="BV98" s="75">
        <f t="shared" si="144"/>
        <v>0</v>
      </c>
      <c r="BW98" s="75">
        <f t="shared" si="145"/>
        <v>0</v>
      </c>
      <c r="BX98" s="75"/>
      <c r="BY98" s="75"/>
      <c r="BZ98" s="75">
        <f t="shared" si="120"/>
        <v>0</v>
      </c>
      <c r="CA98" s="25">
        <f t="shared" si="121"/>
        <v>2.5842960000000002E-2</v>
      </c>
      <c r="CB98" s="75">
        <f t="shared" si="122"/>
        <v>646074</v>
      </c>
      <c r="CC98" s="75"/>
      <c r="CD98" s="75"/>
      <c r="CE98" s="75"/>
      <c r="CF98" s="75"/>
      <c r="CG98" s="75"/>
      <c r="CH98" s="75">
        <f>+'[1]AGOSTO 2015'!$H$3027</f>
        <v>646074</v>
      </c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25">
        <f t="shared" si="123"/>
        <v>0.97415704000000003</v>
      </c>
      <c r="CX98" s="75">
        <f t="shared" si="124"/>
        <v>24353926</v>
      </c>
      <c r="CY98" s="75"/>
      <c r="CZ98" s="75">
        <f>O98-CD98</f>
        <v>0</v>
      </c>
      <c r="DA98" s="75">
        <f>P98-CE98</f>
        <v>0</v>
      </c>
      <c r="DB98" s="75">
        <f t="shared" si="125"/>
        <v>0</v>
      </c>
      <c r="DC98" s="75"/>
      <c r="DD98" s="75">
        <f t="shared" si="126"/>
        <v>24353926</v>
      </c>
      <c r="DE98" s="75">
        <f t="shared" si="127"/>
        <v>0</v>
      </c>
      <c r="DF98" s="75"/>
      <c r="DG98" s="75">
        <f t="shared" si="128"/>
        <v>0</v>
      </c>
      <c r="DH98" s="75">
        <f t="shared" si="129"/>
        <v>0</v>
      </c>
      <c r="DI98" s="75"/>
      <c r="DJ98" s="75">
        <f t="shared" si="130"/>
        <v>0</v>
      </c>
      <c r="DK98" s="75">
        <f t="shared" si="131"/>
        <v>0</v>
      </c>
      <c r="DL98" s="75">
        <f t="shared" si="132"/>
        <v>0</v>
      </c>
      <c r="DM98" s="75">
        <f t="shared" si="133"/>
        <v>0</v>
      </c>
      <c r="DN98" s="75">
        <f t="shared" si="134"/>
        <v>0</v>
      </c>
      <c r="DO98" s="75">
        <f t="shared" si="135"/>
        <v>0</v>
      </c>
      <c r="DP98" s="75">
        <f t="shared" si="136"/>
        <v>0</v>
      </c>
      <c r="DQ98" s="75"/>
      <c r="DR98" s="75">
        <f t="shared" si="137"/>
        <v>0</v>
      </c>
    </row>
    <row r="99" spans="1:122" ht="32.25" customHeight="1" x14ac:dyDescent="0.25">
      <c r="A99" s="242"/>
      <c r="B99" s="81" t="s">
        <v>222</v>
      </c>
      <c r="C99" s="82" t="s">
        <v>221</v>
      </c>
      <c r="D99" s="81" t="s">
        <v>220</v>
      </c>
      <c r="E99" s="97">
        <v>520</v>
      </c>
      <c r="F99" s="78" t="s">
        <v>214</v>
      </c>
      <c r="G99" s="78">
        <v>10000000</v>
      </c>
      <c r="H99" s="79">
        <f t="shared" si="108"/>
        <v>0</v>
      </c>
      <c r="I99" s="79">
        <f t="shared" si="109"/>
        <v>0</v>
      </c>
      <c r="J99" s="78"/>
      <c r="K99" s="78"/>
      <c r="L99" s="78"/>
      <c r="M99" s="75">
        <f t="shared" si="110"/>
        <v>0</v>
      </c>
      <c r="N99" s="45"/>
      <c r="O99" s="45"/>
      <c r="P99" s="45"/>
      <c r="Q99" s="45"/>
      <c r="R99" s="45"/>
      <c r="S99" s="75">
        <f>10000000-10000000</f>
        <v>0</v>
      </c>
      <c r="T99" s="45"/>
      <c r="U99" s="45"/>
      <c r="V99" s="45"/>
      <c r="W99" s="45"/>
      <c r="X99" s="45"/>
      <c r="Y99" s="24"/>
      <c r="Z99" s="45"/>
      <c r="AA99" s="45"/>
      <c r="AB99" s="75">
        <f>10000000-10000000</f>
        <v>0</v>
      </c>
      <c r="AC99" s="75"/>
      <c r="AD99" s="75"/>
      <c r="AE99" s="75"/>
      <c r="AF99" s="75"/>
      <c r="AG99" s="75"/>
      <c r="AH99" s="113"/>
      <c r="AI99" s="25" t="e">
        <f t="shared" si="111"/>
        <v>#DIV/0!</v>
      </c>
      <c r="AJ99" s="75">
        <f t="shared" si="112"/>
        <v>0</v>
      </c>
      <c r="AK99" s="75"/>
      <c r="AL99" s="75"/>
      <c r="AM99" s="75"/>
      <c r="AN99" s="75"/>
      <c r="AO99" s="75"/>
      <c r="AP99" s="75">
        <f>+'[8]FEBRERO 2015'!$N$1228-10000000</f>
        <v>0</v>
      </c>
      <c r="AQ99" s="75"/>
      <c r="AR99" s="75"/>
      <c r="AS99" s="75"/>
      <c r="AT99" s="75"/>
      <c r="AU99" s="75"/>
      <c r="AV99" s="75"/>
      <c r="AW99" s="75"/>
      <c r="AX99" s="75"/>
      <c r="AY99" s="75">
        <f>+'[5]FEBRERO 2015'!$W$1302-10000000</f>
        <v>0</v>
      </c>
      <c r="AZ99" s="75"/>
      <c r="BA99" s="75"/>
      <c r="BB99" s="75"/>
      <c r="BC99" s="75"/>
      <c r="BD99" s="75"/>
      <c r="BE99" s="25" t="e">
        <f t="shared" si="148"/>
        <v>#DIV/0!</v>
      </c>
      <c r="BF99" s="75">
        <f t="shared" si="113"/>
        <v>0</v>
      </c>
      <c r="BG99" s="75">
        <f t="shared" si="114"/>
        <v>0</v>
      </c>
      <c r="BH99" s="75">
        <f t="shared" si="115"/>
        <v>0</v>
      </c>
      <c r="BI99" s="75"/>
      <c r="BJ99" s="75">
        <f t="shared" si="116"/>
        <v>0</v>
      </c>
      <c r="BK99" s="75"/>
      <c r="BL99" s="75">
        <f t="shared" si="117"/>
        <v>0</v>
      </c>
      <c r="BM99" s="75">
        <f t="shared" si="118"/>
        <v>0</v>
      </c>
      <c r="BN99" s="75"/>
      <c r="BO99" s="75">
        <f t="shared" si="146"/>
        <v>0</v>
      </c>
      <c r="BP99" s="75">
        <f t="shared" si="138"/>
        <v>0</v>
      </c>
      <c r="BQ99" s="75"/>
      <c r="BR99" s="75">
        <f t="shared" si="141"/>
        <v>0</v>
      </c>
      <c r="BS99" s="75">
        <f t="shared" si="142"/>
        <v>0</v>
      </c>
      <c r="BT99" s="75">
        <f t="shared" si="143"/>
        <v>0</v>
      </c>
      <c r="BU99" s="75">
        <f t="shared" si="147"/>
        <v>0</v>
      </c>
      <c r="BV99" s="75">
        <f t="shared" si="144"/>
        <v>0</v>
      </c>
      <c r="BW99" s="75">
        <f t="shared" si="145"/>
        <v>0</v>
      </c>
      <c r="BX99" s="75"/>
      <c r="BY99" s="75"/>
      <c r="BZ99" s="75">
        <f t="shared" si="120"/>
        <v>0</v>
      </c>
      <c r="CA99" s="25" t="e">
        <f t="shared" si="121"/>
        <v>#DIV/0!</v>
      </c>
      <c r="CB99" s="75">
        <f t="shared" si="122"/>
        <v>0</v>
      </c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25" t="e">
        <f t="shared" si="123"/>
        <v>#DIV/0!</v>
      </c>
      <c r="CX99" s="75">
        <f t="shared" si="124"/>
        <v>0</v>
      </c>
      <c r="CY99" s="75"/>
      <c r="CZ99" s="75"/>
      <c r="DA99" s="75"/>
      <c r="DB99" s="75">
        <f t="shared" si="125"/>
        <v>0</v>
      </c>
      <c r="DC99" s="75"/>
      <c r="DD99" s="75">
        <f t="shared" si="126"/>
        <v>0</v>
      </c>
      <c r="DE99" s="75">
        <f t="shared" si="127"/>
        <v>0</v>
      </c>
      <c r="DF99" s="75"/>
      <c r="DG99" s="75">
        <f t="shared" si="128"/>
        <v>0</v>
      </c>
      <c r="DH99" s="75">
        <f t="shared" si="129"/>
        <v>0</v>
      </c>
      <c r="DI99" s="75"/>
      <c r="DJ99" s="75">
        <f t="shared" si="130"/>
        <v>0</v>
      </c>
      <c r="DK99" s="75">
        <f t="shared" si="131"/>
        <v>0</v>
      </c>
      <c r="DL99" s="75">
        <f t="shared" si="132"/>
        <v>0</v>
      </c>
      <c r="DM99" s="75">
        <f t="shared" si="133"/>
        <v>0</v>
      </c>
      <c r="DN99" s="75">
        <f t="shared" si="134"/>
        <v>0</v>
      </c>
      <c r="DO99" s="75">
        <f t="shared" si="135"/>
        <v>0</v>
      </c>
      <c r="DP99" s="75">
        <f t="shared" si="136"/>
        <v>0</v>
      </c>
      <c r="DQ99" s="75"/>
      <c r="DR99" s="75">
        <f t="shared" si="137"/>
        <v>0</v>
      </c>
    </row>
    <row r="100" spans="1:122" ht="24" customHeight="1" x14ac:dyDescent="0.25">
      <c r="A100" s="242"/>
      <c r="B100" s="81" t="s">
        <v>219</v>
      </c>
      <c r="C100" s="82" t="s">
        <v>218</v>
      </c>
      <c r="D100" s="81" t="s">
        <v>217</v>
      </c>
      <c r="E100" s="97">
        <v>520</v>
      </c>
      <c r="F100" s="78" t="s">
        <v>214</v>
      </c>
      <c r="G100" s="227">
        <v>361000000</v>
      </c>
      <c r="H100" s="79">
        <f t="shared" si="108"/>
        <v>93970657</v>
      </c>
      <c r="I100" s="79">
        <f t="shared" si="109"/>
        <v>78180550</v>
      </c>
      <c r="J100" s="78"/>
      <c r="K100" s="78"/>
      <c r="L100" s="78"/>
      <c r="M100" s="75">
        <f t="shared" si="110"/>
        <v>172151207</v>
      </c>
      <c r="N100" s="45"/>
      <c r="O100" s="45"/>
      <c r="P100" s="45"/>
      <c r="Q100" s="75">
        <f>80000000-72884540-7115460</f>
        <v>0</v>
      </c>
      <c r="R100" s="75">
        <v>72884540</v>
      </c>
      <c r="S100" s="115">
        <f>170000000-80733333</f>
        <v>89266667</v>
      </c>
      <c r="T100" s="45"/>
      <c r="U100" s="45"/>
      <c r="V100" s="45"/>
      <c r="W100" s="45"/>
      <c r="X100" s="45"/>
      <c r="Y100" s="24"/>
      <c r="Z100" s="45"/>
      <c r="AA100" s="45"/>
      <c r="AB100" s="75">
        <v>10000000</v>
      </c>
      <c r="AC100" s="75"/>
      <c r="AD100" s="75"/>
      <c r="AE100" s="75"/>
      <c r="AF100" s="75"/>
      <c r="AG100" s="75"/>
      <c r="AH100" s="113"/>
      <c r="AI100" s="25">
        <f t="shared" ref="AI100:AI103" si="149">+AJ100/M100</f>
        <v>0.57662486792787926</v>
      </c>
      <c r="AJ100" s="75">
        <f t="shared" si="112"/>
        <v>99266667</v>
      </c>
      <c r="AK100" s="75"/>
      <c r="AL100" s="75"/>
      <c r="AM100" s="75"/>
      <c r="AN100" s="75"/>
      <c r="AO100" s="75"/>
      <c r="AP100" s="75">
        <f>+'[5]FEBRERO 2015'!$N$1309</f>
        <v>89266667</v>
      </c>
      <c r="AQ100" s="75"/>
      <c r="AR100" s="75"/>
      <c r="AS100" s="75"/>
      <c r="AT100" s="75"/>
      <c r="AU100" s="75"/>
      <c r="AV100" s="75"/>
      <c r="AW100" s="75"/>
      <c r="AX100" s="75"/>
      <c r="AY100" s="75">
        <f>+'[5]FEBRERO 2015'!$W$1309</f>
        <v>10000000</v>
      </c>
      <c r="AZ100" s="75"/>
      <c r="BA100" s="75"/>
      <c r="BB100" s="75"/>
      <c r="BC100" s="75"/>
      <c r="BD100" s="75"/>
      <c r="BE100" s="25">
        <f t="shared" si="148"/>
        <v>0.42337513207212074</v>
      </c>
      <c r="BF100" s="75">
        <f t="shared" si="113"/>
        <v>72884540</v>
      </c>
      <c r="BG100" s="75">
        <f t="shared" si="114"/>
        <v>0</v>
      </c>
      <c r="BH100" s="75">
        <f t="shared" si="115"/>
        <v>0</v>
      </c>
      <c r="BI100" s="75"/>
      <c r="BJ100" s="75">
        <f t="shared" si="116"/>
        <v>0</v>
      </c>
      <c r="BK100" s="75">
        <f>R100-AO100</f>
        <v>72884540</v>
      </c>
      <c r="BL100" s="75">
        <f t="shared" si="117"/>
        <v>0</v>
      </c>
      <c r="BM100" s="75">
        <f t="shared" si="118"/>
        <v>0</v>
      </c>
      <c r="BN100" s="75"/>
      <c r="BO100" s="75">
        <f t="shared" si="146"/>
        <v>0</v>
      </c>
      <c r="BP100" s="75">
        <f t="shared" si="138"/>
        <v>0</v>
      </c>
      <c r="BQ100" s="75"/>
      <c r="BR100" s="75">
        <f t="shared" si="141"/>
        <v>0</v>
      </c>
      <c r="BS100" s="75">
        <f t="shared" si="142"/>
        <v>0</v>
      </c>
      <c r="BT100" s="75">
        <f t="shared" si="143"/>
        <v>0</v>
      </c>
      <c r="BU100" s="75">
        <f t="shared" si="147"/>
        <v>0</v>
      </c>
      <c r="BV100" s="75">
        <f t="shared" si="144"/>
        <v>0</v>
      </c>
      <c r="BW100" s="75">
        <f t="shared" si="145"/>
        <v>0</v>
      </c>
      <c r="BX100" s="75"/>
      <c r="BY100" s="75"/>
      <c r="BZ100" s="75">
        <f t="shared" si="120"/>
        <v>0</v>
      </c>
      <c r="CA100" s="25">
        <f t="shared" ref="CA100:CA103" si="150">+CB100/M100</f>
        <v>0.54586115681431147</v>
      </c>
      <c r="CB100" s="75">
        <f t="shared" si="122"/>
        <v>93970657</v>
      </c>
      <c r="CC100" s="75"/>
      <c r="CD100" s="75"/>
      <c r="CE100" s="75"/>
      <c r="CF100" s="75"/>
      <c r="CG100" s="75"/>
      <c r="CH100" s="75">
        <f>+'[1]AGOSTO 2015'!$H$3044+'[1]AGOSTO 2015'!$H$3050</f>
        <v>83970657</v>
      </c>
      <c r="CI100" s="75"/>
      <c r="CJ100" s="75"/>
      <c r="CK100" s="75"/>
      <c r="CL100" s="75"/>
      <c r="CM100" s="75"/>
      <c r="CN100" s="75"/>
      <c r="CO100" s="75"/>
      <c r="CP100" s="75"/>
      <c r="CQ100" s="75">
        <f>+'[6]JUNIO 2015'!$H$2333</f>
        <v>10000000</v>
      </c>
      <c r="CR100" s="75"/>
      <c r="CS100" s="75"/>
      <c r="CT100" s="75"/>
      <c r="CU100" s="75"/>
      <c r="CV100" s="75"/>
      <c r="CW100" s="25">
        <f t="shared" si="123"/>
        <v>0.45413884318568853</v>
      </c>
      <c r="CX100" s="75">
        <f t="shared" si="124"/>
        <v>78180550</v>
      </c>
      <c r="CY100" s="75"/>
      <c r="CZ100" s="75"/>
      <c r="DA100" s="75"/>
      <c r="DB100" s="75">
        <f t="shared" si="125"/>
        <v>0</v>
      </c>
      <c r="DC100" s="75">
        <f>R100-CG100</f>
        <v>72884540</v>
      </c>
      <c r="DD100" s="75">
        <f t="shared" si="126"/>
        <v>5296010</v>
      </c>
      <c r="DE100" s="75">
        <f t="shared" si="127"/>
        <v>0</v>
      </c>
      <c r="DF100" s="75"/>
      <c r="DG100" s="75">
        <f t="shared" si="128"/>
        <v>0</v>
      </c>
      <c r="DH100" s="75">
        <f t="shared" si="129"/>
        <v>0</v>
      </c>
      <c r="DI100" s="75"/>
      <c r="DJ100" s="75">
        <f t="shared" si="130"/>
        <v>0</v>
      </c>
      <c r="DK100" s="75">
        <f t="shared" si="131"/>
        <v>0</v>
      </c>
      <c r="DL100" s="75">
        <f t="shared" si="132"/>
        <v>0</v>
      </c>
      <c r="DM100" s="75">
        <f t="shared" si="133"/>
        <v>0</v>
      </c>
      <c r="DN100" s="75">
        <f t="shared" si="134"/>
        <v>0</v>
      </c>
      <c r="DO100" s="75">
        <f t="shared" si="135"/>
        <v>0</v>
      </c>
      <c r="DP100" s="75">
        <f t="shared" si="136"/>
        <v>0</v>
      </c>
      <c r="DQ100" s="75"/>
      <c r="DR100" s="75">
        <f t="shared" si="137"/>
        <v>0</v>
      </c>
    </row>
    <row r="101" spans="1:122" ht="33.75" customHeight="1" x14ac:dyDescent="0.25">
      <c r="A101" s="242"/>
      <c r="B101" s="114"/>
      <c r="C101" s="82" t="s">
        <v>216</v>
      </c>
      <c r="D101" s="81" t="s">
        <v>215</v>
      </c>
      <c r="E101" s="97">
        <v>520</v>
      </c>
      <c r="F101" s="78" t="s">
        <v>214</v>
      </c>
      <c r="G101" s="228"/>
      <c r="H101" s="79">
        <f t="shared" si="108"/>
        <v>110733333</v>
      </c>
      <c r="I101" s="79">
        <f t="shared" si="109"/>
        <v>0</v>
      </c>
      <c r="J101" s="78"/>
      <c r="K101" s="78"/>
      <c r="L101" s="78"/>
      <c r="M101" s="75">
        <f t="shared" si="110"/>
        <v>110733333</v>
      </c>
      <c r="N101" s="45"/>
      <c r="O101" s="45"/>
      <c r="P101" s="45"/>
      <c r="Q101" s="75">
        <f>70000000-70000000</f>
        <v>0</v>
      </c>
      <c r="R101" s="75"/>
      <c r="S101" s="75">
        <f>30000000+80733333</f>
        <v>110733333</v>
      </c>
      <c r="T101" s="45"/>
      <c r="U101" s="45"/>
      <c r="V101" s="45"/>
      <c r="W101" s="45"/>
      <c r="X101" s="45"/>
      <c r="Y101" s="24"/>
      <c r="Z101" s="45"/>
      <c r="AA101" s="45"/>
      <c r="AB101" s="75"/>
      <c r="AC101" s="75"/>
      <c r="AD101" s="75"/>
      <c r="AE101" s="75"/>
      <c r="AF101" s="75"/>
      <c r="AG101" s="75"/>
      <c r="AH101" s="113"/>
      <c r="AI101" s="25">
        <f t="shared" si="149"/>
        <v>1</v>
      </c>
      <c r="AJ101" s="75">
        <f t="shared" si="112"/>
        <v>110733333</v>
      </c>
      <c r="AK101" s="75"/>
      <c r="AL101" s="75"/>
      <c r="AM101" s="75"/>
      <c r="AN101" s="75">
        <f>+'[4]MARZO 2015'!$L$1529-70000000</f>
        <v>0</v>
      </c>
      <c r="AO101" s="75"/>
      <c r="AP101" s="75">
        <f>+'[4]MARZO 2015'!$N$1529</f>
        <v>110733333</v>
      </c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25">
        <f t="shared" si="148"/>
        <v>0</v>
      </c>
      <c r="BF101" s="75">
        <f t="shared" si="113"/>
        <v>0</v>
      </c>
      <c r="BG101" s="75">
        <f t="shared" si="114"/>
        <v>0</v>
      </c>
      <c r="BH101" s="75">
        <f t="shared" si="115"/>
        <v>0</v>
      </c>
      <c r="BI101" s="75"/>
      <c r="BJ101" s="75">
        <f t="shared" si="116"/>
        <v>0</v>
      </c>
      <c r="BK101" s="75"/>
      <c r="BL101" s="75">
        <f t="shared" si="117"/>
        <v>0</v>
      </c>
      <c r="BM101" s="75">
        <f t="shared" si="118"/>
        <v>0</v>
      </c>
      <c r="BN101" s="75"/>
      <c r="BO101" s="75">
        <f t="shared" si="146"/>
        <v>0</v>
      </c>
      <c r="BP101" s="75">
        <f t="shared" si="138"/>
        <v>0</v>
      </c>
      <c r="BQ101" s="75"/>
      <c r="BR101" s="75">
        <f t="shared" si="141"/>
        <v>0</v>
      </c>
      <c r="BS101" s="75">
        <f t="shared" si="142"/>
        <v>0</v>
      </c>
      <c r="BT101" s="75">
        <f t="shared" si="143"/>
        <v>0</v>
      </c>
      <c r="BU101" s="75">
        <f t="shared" si="147"/>
        <v>0</v>
      </c>
      <c r="BV101" s="75">
        <f t="shared" si="144"/>
        <v>0</v>
      </c>
      <c r="BW101" s="75">
        <f t="shared" si="145"/>
        <v>0</v>
      </c>
      <c r="BX101" s="75"/>
      <c r="BY101" s="75"/>
      <c r="BZ101" s="75">
        <f t="shared" si="120"/>
        <v>0</v>
      </c>
      <c r="CA101" s="25">
        <f t="shared" si="150"/>
        <v>1</v>
      </c>
      <c r="CB101" s="75">
        <f t="shared" si="122"/>
        <v>110733333</v>
      </c>
      <c r="CC101" s="75"/>
      <c r="CD101" s="75"/>
      <c r="CE101" s="75"/>
      <c r="CF101" s="75"/>
      <c r="CG101" s="75"/>
      <c r="CH101" s="75">
        <f>+'[2]JULIO 2015'!$H$2722</f>
        <v>110733333</v>
      </c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25">
        <f t="shared" si="123"/>
        <v>0</v>
      </c>
      <c r="CX101" s="75">
        <f t="shared" si="124"/>
        <v>0</v>
      </c>
      <c r="CY101" s="75"/>
      <c r="CZ101" s="75"/>
      <c r="DA101" s="75"/>
      <c r="DB101" s="75">
        <f t="shared" si="125"/>
        <v>0</v>
      </c>
      <c r="DC101" s="75"/>
      <c r="DD101" s="75">
        <f t="shared" si="126"/>
        <v>0</v>
      </c>
      <c r="DE101" s="75">
        <f t="shared" si="127"/>
        <v>0</v>
      </c>
      <c r="DF101" s="75"/>
      <c r="DG101" s="75">
        <f t="shared" si="128"/>
        <v>0</v>
      </c>
      <c r="DH101" s="75">
        <f t="shared" si="129"/>
        <v>0</v>
      </c>
      <c r="DI101" s="75"/>
      <c r="DJ101" s="75">
        <f t="shared" si="130"/>
        <v>0</v>
      </c>
      <c r="DK101" s="75">
        <f t="shared" si="131"/>
        <v>0</v>
      </c>
      <c r="DL101" s="75">
        <f t="shared" si="132"/>
        <v>0</v>
      </c>
      <c r="DM101" s="75">
        <f t="shared" si="133"/>
        <v>0</v>
      </c>
      <c r="DN101" s="75">
        <f t="shared" si="134"/>
        <v>0</v>
      </c>
      <c r="DO101" s="75">
        <f t="shared" si="135"/>
        <v>0</v>
      </c>
      <c r="DP101" s="75">
        <f t="shared" si="136"/>
        <v>0</v>
      </c>
      <c r="DQ101" s="75"/>
      <c r="DR101" s="75">
        <f t="shared" si="137"/>
        <v>0</v>
      </c>
    </row>
    <row r="102" spans="1:122" ht="45.75" customHeight="1" x14ac:dyDescent="0.25">
      <c r="A102" s="242"/>
      <c r="B102" s="114"/>
      <c r="C102" s="82" t="s">
        <v>213</v>
      </c>
      <c r="D102" s="81" t="s">
        <v>212</v>
      </c>
      <c r="E102" s="97">
        <v>520</v>
      </c>
      <c r="F102" s="78" t="s">
        <v>211</v>
      </c>
      <c r="G102" s="229"/>
      <c r="H102" s="79">
        <f t="shared" si="108"/>
        <v>8000000</v>
      </c>
      <c r="I102" s="79">
        <f t="shared" si="109"/>
        <v>27579091</v>
      </c>
      <c r="J102" s="78"/>
      <c r="K102" s="78"/>
      <c r="L102" s="78"/>
      <c r="M102" s="75">
        <f t="shared" si="110"/>
        <v>35579091</v>
      </c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24"/>
      <c r="Z102" s="45"/>
      <c r="AA102" s="45"/>
      <c r="AB102" s="75"/>
      <c r="AC102" s="75"/>
      <c r="AD102" s="75"/>
      <c r="AE102" s="75"/>
      <c r="AF102" s="75"/>
      <c r="AG102" s="75">
        <f>3000000+8000000+20123209+4455882</f>
        <v>35579091</v>
      </c>
      <c r="AH102" s="113"/>
      <c r="AI102" s="25">
        <f t="shared" si="149"/>
        <v>0.77514883671423762</v>
      </c>
      <c r="AJ102" s="75">
        <f t="shared" si="112"/>
        <v>27579091</v>
      </c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>
        <f>+'[2]JULIO 2015'!$AD$2743</f>
        <v>27579091</v>
      </c>
      <c r="BE102" s="25">
        <f t="shared" si="148"/>
        <v>0.22485116328576238</v>
      </c>
      <c r="BF102" s="75">
        <f t="shared" si="113"/>
        <v>8000000</v>
      </c>
      <c r="BG102" s="75">
        <f t="shared" si="114"/>
        <v>0</v>
      </c>
      <c r="BH102" s="75">
        <f t="shared" si="115"/>
        <v>0</v>
      </c>
      <c r="BI102" s="75"/>
      <c r="BJ102" s="75">
        <f t="shared" si="116"/>
        <v>0</v>
      </c>
      <c r="BK102" s="75"/>
      <c r="BL102" s="75">
        <f t="shared" si="117"/>
        <v>0</v>
      </c>
      <c r="BM102" s="75">
        <f t="shared" si="118"/>
        <v>0</v>
      </c>
      <c r="BN102" s="75"/>
      <c r="BO102" s="75">
        <f t="shared" si="146"/>
        <v>0</v>
      </c>
      <c r="BP102" s="75">
        <f t="shared" si="138"/>
        <v>0</v>
      </c>
      <c r="BQ102" s="75"/>
      <c r="BR102" s="75">
        <f t="shared" si="141"/>
        <v>0</v>
      </c>
      <c r="BS102" s="75">
        <f t="shared" si="142"/>
        <v>0</v>
      </c>
      <c r="BT102" s="75">
        <f t="shared" si="143"/>
        <v>0</v>
      </c>
      <c r="BU102" s="75">
        <f t="shared" si="147"/>
        <v>0</v>
      </c>
      <c r="BV102" s="75">
        <f t="shared" si="144"/>
        <v>0</v>
      </c>
      <c r="BW102" s="75">
        <f t="shared" si="145"/>
        <v>0</v>
      </c>
      <c r="BX102" s="75"/>
      <c r="BY102" s="75"/>
      <c r="BZ102" s="75">
        <f t="shared" si="120"/>
        <v>8000000</v>
      </c>
      <c r="CA102" s="25">
        <f t="shared" si="150"/>
        <v>0.22485116328576241</v>
      </c>
      <c r="CB102" s="75">
        <f t="shared" si="122"/>
        <v>8000000</v>
      </c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>
        <f>+'[3]ABRIL 2015'!$H$1822</f>
        <v>8000000</v>
      </c>
      <c r="CW102" s="25">
        <f t="shared" si="123"/>
        <v>0.77514883671423762</v>
      </c>
      <c r="CX102" s="75">
        <f t="shared" si="124"/>
        <v>27579091</v>
      </c>
      <c r="CY102" s="75"/>
      <c r="CZ102" s="75"/>
      <c r="DA102" s="75"/>
      <c r="DB102" s="75">
        <f t="shared" si="125"/>
        <v>0</v>
      </c>
      <c r="DC102" s="75"/>
      <c r="DD102" s="75">
        <f t="shared" si="126"/>
        <v>0</v>
      </c>
      <c r="DE102" s="75">
        <f t="shared" si="127"/>
        <v>0</v>
      </c>
      <c r="DF102" s="75"/>
      <c r="DG102" s="75">
        <f t="shared" si="128"/>
        <v>0</v>
      </c>
      <c r="DH102" s="75">
        <f t="shared" si="129"/>
        <v>0</v>
      </c>
      <c r="DI102" s="75"/>
      <c r="DJ102" s="75">
        <f t="shared" si="130"/>
        <v>0</v>
      </c>
      <c r="DK102" s="75">
        <f t="shared" si="131"/>
        <v>0</v>
      </c>
      <c r="DL102" s="75">
        <f t="shared" si="132"/>
        <v>0</v>
      </c>
      <c r="DM102" s="75">
        <f t="shared" si="133"/>
        <v>0</v>
      </c>
      <c r="DN102" s="75">
        <f t="shared" si="134"/>
        <v>0</v>
      </c>
      <c r="DO102" s="75">
        <f t="shared" si="135"/>
        <v>0</v>
      </c>
      <c r="DP102" s="75">
        <f t="shared" si="136"/>
        <v>0</v>
      </c>
      <c r="DQ102" s="75"/>
      <c r="DR102" s="75">
        <f t="shared" si="137"/>
        <v>27579091</v>
      </c>
    </row>
    <row r="103" spans="1:122" s="68" customFormat="1" ht="21" customHeight="1" thickBot="1" x14ac:dyDescent="0.3">
      <c r="A103" s="112"/>
      <c r="B103" s="255" t="s">
        <v>210</v>
      </c>
      <c r="C103" s="256"/>
      <c r="D103" s="256"/>
      <c r="E103" s="256"/>
      <c r="F103" s="257"/>
      <c r="G103" s="69">
        <f>SUM(G68:G102)</f>
        <v>2832000000</v>
      </c>
      <c r="H103" s="69">
        <f>SUM(H68:H102)</f>
        <v>1638726933</v>
      </c>
      <c r="I103" s="69">
        <f>SUM(I68:I102)</f>
        <v>1319780820</v>
      </c>
      <c r="J103" s="111"/>
      <c r="K103" s="111"/>
      <c r="L103" s="111"/>
      <c r="M103" s="69">
        <f t="shared" ref="M103:AG103" si="151">SUM(M68:M102)</f>
        <v>2958507753</v>
      </c>
      <c r="N103" s="69">
        <f t="shared" si="151"/>
        <v>0</v>
      </c>
      <c r="O103" s="69">
        <f t="shared" si="151"/>
        <v>0</v>
      </c>
      <c r="P103" s="69">
        <f t="shared" si="151"/>
        <v>0</v>
      </c>
      <c r="Q103" s="69">
        <f t="shared" si="151"/>
        <v>50000000</v>
      </c>
      <c r="R103" s="69">
        <f t="shared" si="151"/>
        <v>72884540</v>
      </c>
      <c r="S103" s="69">
        <f t="shared" si="151"/>
        <v>660000000</v>
      </c>
      <c r="T103" s="69">
        <f t="shared" si="151"/>
        <v>923014856</v>
      </c>
      <c r="U103" s="69">
        <f t="shared" si="151"/>
        <v>0</v>
      </c>
      <c r="V103" s="69">
        <f t="shared" si="151"/>
        <v>0</v>
      </c>
      <c r="W103" s="69">
        <f t="shared" si="151"/>
        <v>0</v>
      </c>
      <c r="X103" s="69">
        <f t="shared" si="151"/>
        <v>0</v>
      </c>
      <c r="Y103" s="69">
        <f t="shared" si="151"/>
        <v>0</v>
      </c>
      <c r="Z103" s="69">
        <f t="shared" si="151"/>
        <v>610864435</v>
      </c>
      <c r="AA103" s="69">
        <f t="shared" si="151"/>
        <v>0</v>
      </c>
      <c r="AB103" s="69">
        <f t="shared" si="151"/>
        <v>50000000</v>
      </c>
      <c r="AC103" s="69">
        <f t="shared" si="151"/>
        <v>0</v>
      </c>
      <c r="AD103" s="69">
        <f t="shared" si="151"/>
        <v>0</v>
      </c>
      <c r="AE103" s="69">
        <f t="shared" si="151"/>
        <v>0</v>
      </c>
      <c r="AF103" s="69">
        <f t="shared" si="151"/>
        <v>0</v>
      </c>
      <c r="AG103" s="69">
        <f t="shared" si="151"/>
        <v>591743922</v>
      </c>
      <c r="AI103" s="70">
        <f t="shared" si="149"/>
        <v>0.81371961271990623</v>
      </c>
      <c r="AJ103" s="69">
        <f>SUM(AJ68:AJ102)</f>
        <v>2407395783</v>
      </c>
      <c r="AK103" s="69">
        <f>SUM(AK68:AK102)</f>
        <v>0</v>
      </c>
      <c r="AL103" s="69">
        <f>SUM(AL68:AL102)</f>
        <v>0</v>
      </c>
      <c r="AM103" s="69"/>
      <c r="AN103" s="69">
        <f>SUM(AN68:AN102)</f>
        <v>50000000</v>
      </c>
      <c r="AO103" s="69"/>
      <c r="AP103" s="69">
        <f t="shared" ref="AP103:BD103" si="152">SUM(AP68:AP102)</f>
        <v>649180877</v>
      </c>
      <c r="AQ103" s="69">
        <f t="shared" si="152"/>
        <v>898014856</v>
      </c>
      <c r="AR103" s="69">
        <f t="shared" si="152"/>
        <v>0</v>
      </c>
      <c r="AS103" s="69">
        <f t="shared" si="152"/>
        <v>0</v>
      </c>
      <c r="AT103" s="69">
        <f t="shared" si="152"/>
        <v>0</v>
      </c>
      <c r="AU103" s="69">
        <f t="shared" si="152"/>
        <v>0</v>
      </c>
      <c r="AV103" s="69">
        <f t="shared" si="152"/>
        <v>0</v>
      </c>
      <c r="AW103" s="69">
        <f t="shared" si="152"/>
        <v>221128226</v>
      </c>
      <c r="AX103" s="69">
        <f t="shared" si="152"/>
        <v>0</v>
      </c>
      <c r="AY103" s="69">
        <f t="shared" si="152"/>
        <v>50000000</v>
      </c>
      <c r="AZ103" s="69">
        <f t="shared" si="152"/>
        <v>0</v>
      </c>
      <c r="BA103" s="69">
        <f t="shared" si="152"/>
        <v>0</v>
      </c>
      <c r="BB103" s="69">
        <f t="shared" si="152"/>
        <v>0</v>
      </c>
      <c r="BC103" s="69">
        <f t="shared" si="152"/>
        <v>0</v>
      </c>
      <c r="BD103" s="69">
        <f t="shared" si="152"/>
        <v>539071824</v>
      </c>
      <c r="BE103" s="70">
        <f t="shared" si="148"/>
        <v>0.18628038728009377</v>
      </c>
      <c r="BF103" s="69">
        <f t="shared" ref="BF103:BZ103" si="153">SUM(BF68:BF102)</f>
        <v>551111970</v>
      </c>
      <c r="BG103" s="69">
        <f t="shared" si="153"/>
        <v>0</v>
      </c>
      <c r="BH103" s="69">
        <f t="shared" si="153"/>
        <v>0</v>
      </c>
      <c r="BI103" s="69">
        <f t="shared" si="153"/>
        <v>0</v>
      </c>
      <c r="BJ103" s="69">
        <f t="shared" si="153"/>
        <v>0</v>
      </c>
      <c r="BK103" s="69">
        <f t="shared" si="153"/>
        <v>72884540</v>
      </c>
      <c r="BL103" s="69">
        <f t="shared" si="153"/>
        <v>10819123</v>
      </c>
      <c r="BM103" s="69">
        <f t="shared" si="153"/>
        <v>25000000</v>
      </c>
      <c r="BN103" s="69">
        <f t="shared" si="153"/>
        <v>0</v>
      </c>
      <c r="BO103" s="69">
        <f t="shared" si="153"/>
        <v>0</v>
      </c>
      <c r="BP103" s="69">
        <f t="shared" si="153"/>
        <v>0</v>
      </c>
      <c r="BQ103" s="69">
        <f t="shared" si="153"/>
        <v>0</v>
      </c>
      <c r="BR103" s="69">
        <f t="shared" si="153"/>
        <v>0</v>
      </c>
      <c r="BS103" s="69">
        <f t="shared" si="153"/>
        <v>389736209</v>
      </c>
      <c r="BT103" s="69">
        <f t="shared" si="153"/>
        <v>0</v>
      </c>
      <c r="BU103" s="69">
        <f t="shared" si="153"/>
        <v>0</v>
      </c>
      <c r="BV103" s="69">
        <f t="shared" si="153"/>
        <v>0</v>
      </c>
      <c r="BW103" s="69">
        <f t="shared" si="153"/>
        <v>0</v>
      </c>
      <c r="BX103" s="69">
        <f t="shared" si="153"/>
        <v>0</v>
      </c>
      <c r="BY103" s="69">
        <f t="shared" si="153"/>
        <v>0</v>
      </c>
      <c r="BZ103" s="69">
        <f t="shared" si="153"/>
        <v>52672098</v>
      </c>
      <c r="CA103" s="70">
        <f t="shared" si="150"/>
        <v>0.55390320722948605</v>
      </c>
      <c r="CB103" s="69">
        <f>SUM(CB68:CB102)</f>
        <v>1638726933</v>
      </c>
      <c r="CC103" s="69">
        <f>SUM(CC68:CC102)</f>
        <v>0</v>
      </c>
      <c r="CD103" s="69">
        <f>SUM(CD68:CD102)</f>
        <v>0</v>
      </c>
      <c r="CE103" s="69"/>
      <c r="CF103" s="69">
        <f>SUM(CF68:CF102)</f>
        <v>40000000</v>
      </c>
      <c r="CG103" s="69"/>
      <c r="CH103" s="69">
        <f>SUM(CH68:CH102)</f>
        <v>478813038</v>
      </c>
      <c r="CI103" s="69">
        <f>SUM(CI68:CI102)</f>
        <v>545087024</v>
      </c>
      <c r="CJ103" s="69"/>
      <c r="CK103" s="69">
        <f t="shared" ref="CK103:CV103" si="154">SUM(CK68:CK102)</f>
        <v>0</v>
      </c>
      <c r="CL103" s="69">
        <f t="shared" si="154"/>
        <v>0</v>
      </c>
      <c r="CM103" s="69">
        <f t="shared" si="154"/>
        <v>0</v>
      </c>
      <c r="CN103" s="69">
        <f t="shared" si="154"/>
        <v>0</v>
      </c>
      <c r="CO103" s="69">
        <f t="shared" si="154"/>
        <v>104600638</v>
      </c>
      <c r="CP103" s="69">
        <f t="shared" si="154"/>
        <v>0</v>
      </c>
      <c r="CQ103" s="69">
        <f t="shared" si="154"/>
        <v>23814210</v>
      </c>
      <c r="CR103" s="69">
        <f t="shared" si="154"/>
        <v>0</v>
      </c>
      <c r="CS103" s="69">
        <f t="shared" si="154"/>
        <v>0</v>
      </c>
      <c r="CT103" s="69">
        <f t="shared" si="154"/>
        <v>0</v>
      </c>
      <c r="CU103" s="69">
        <f t="shared" si="154"/>
        <v>0</v>
      </c>
      <c r="CV103" s="69">
        <f t="shared" si="154"/>
        <v>446412023</v>
      </c>
      <c r="CW103" s="70">
        <f t="shared" si="123"/>
        <v>0.44609679277051395</v>
      </c>
      <c r="CX103" s="69">
        <f>SUM(CX68:CX102)</f>
        <v>1319780820</v>
      </c>
      <c r="CY103" s="69">
        <f>SUM(CY68:CY102)</f>
        <v>0</v>
      </c>
      <c r="CZ103" s="69">
        <f>SUM(CZ68:CZ102)</f>
        <v>0</v>
      </c>
      <c r="DA103" s="69"/>
      <c r="DB103" s="69">
        <f t="shared" ref="DB103:DR103" si="155">SUM(DB68:DB102)</f>
        <v>10000000</v>
      </c>
      <c r="DC103" s="69">
        <f t="shared" si="155"/>
        <v>72884540</v>
      </c>
      <c r="DD103" s="69">
        <f t="shared" si="155"/>
        <v>181186962</v>
      </c>
      <c r="DE103" s="69">
        <f t="shared" si="155"/>
        <v>377927832</v>
      </c>
      <c r="DF103" s="69">
        <f t="shared" si="155"/>
        <v>0</v>
      </c>
      <c r="DG103" s="69">
        <f t="shared" si="155"/>
        <v>0</v>
      </c>
      <c r="DH103" s="69">
        <f t="shared" si="155"/>
        <v>0</v>
      </c>
      <c r="DI103" s="69">
        <f t="shared" si="155"/>
        <v>0</v>
      </c>
      <c r="DJ103" s="69">
        <f t="shared" si="155"/>
        <v>0</v>
      </c>
      <c r="DK103" s="69">
        <f t="shared" si="155"/>
        <v>506263797</v>
      </c>
      <c r="DL103" s="69">
        <f t="shared" si="155"/>
        <v>0</v>
      </c>
      <c r="DM103" s="69">
        <f t="shared" si="155"/>
        <v>26185790</v>
      </c>
      <c r="DN103" s="69">
        <f t="shared" si="155"/>
        <v>0</v>
      </c>
      <c r="DO103" s="69">
        <f t="shared" si="155"/>
        <v>0</v>
      </c>
      <c r="DP103" s="69">
        <f t="shared" si="155"/>
        <v>0</v>
      </c>
      <c r="DQ103" s="69">
        <f t="shared" si="155"/>
        <v>0</v>
      </c>
      <c r="DR103" s="110">
        <f t="shared" si="155"/>
        <v>145331899</v>
      </c>
    </row>
    <row r="104" spans="1:122" ht="10.5" customHeight="1" thickTop="1" x14ac:dyDescent="0.25">
      <c r="B104" s="109"/>
      <c r="C104" s="108"/>
      <c r="D104" s="107"/>
      <c r="E104" s="106"/>
      <c r="F104" s="105"/>
      <c r="G104" s="105"/>
      <c r="H104" s="105"/>
      <c r="I104" s="105"/>
      <c r="J104" s="105"/>
      <c r="K104" s="105"/>
      <c r="L104" s="105"/>
      <c r="M104" s="104"/>
      <c r="N104" s="104"/>
      <c r="O104" s="104"/>
      <c r="P104" s="104"/>
      <c r="Q104" s="104"/>
      <c r="R104" s="104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89"/>
      <c r="AI104" s="102"/>
      <c r="AJ104" s="99"/>
      <c r="AK104" s="99"/>
      <c r="AL104" s="99"/>
      <c r="AM104" s="99"/>
      <c r="AN104" s="99"/>
      <c r="AO104" s="99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0"/>
      <c r="BF104" s="99"/>
      <c r="BG104" s="99"/>
      <c r="BH104" s="99"/>
      <c r="BI104" s="99"/>
      <c r="BJ104" s="99"/>
      <c r="BK104" s="99"/>
      <c r="BL104" s="98"/>
      <c r="BM104" s="98"/>
      <c r="BN104" s="98"/>
      <c r="BO104" s="98"/>
      <c r="BP104" s="98"/>
      <c r="BQ104" s="98"/>
      <c r="BR104" s="98"/>
      <c r="BS104" s="98"/>
      <c r="BT104" s="98"/>
      <c r="BU104" s="98"/>
      <c r="BV104" s="98"/>
      <c r="BW104" s="98"/>
      <c r="BX104" s="98"/>
      <c r="BY104" s="98"/>
      <c r="BZ104" s="98"/>
      <c r="CA104" s="100"/>
      <c r="CB104" s="99"/>
      <c r="CC104" s="99"/>
      <c r="CD104" s="99"/>
      <c r="CE104" s="99"/>
      <c r="CF104" s="99"/>
      <c r="CG104" s="99"/>
      <c r="CH104" s="101"/>
      <c r="CI104" s="101"/>
      <c r="CJ104" s="101"/>
      <c r="CK104" s="101"/>
      <c r="CL104" s="101"/>
      <c r="CM104" s="101"/>
      <c r="CN104" s="101"/>
      <c r="CO104" s="101"/>
      <c r="CP104" s="101"/>
      <c r="CQ104" s="101"/>
      <c r="CR104" s="101"/>
      <c r="CS104" s="101"/>
      <c r="CT104" s="101"/>
      <c r="CU104" s="101"/>
      <c r="CV104" s="101"/>
      <c r="CW104" s="100"/>
      <c r="CX104" s="99"/>
      <c r="CY104" s="99"/>
      <c r="CZ104" s="99"/>
      <c r="DA104" s="99"/>
      <c r="DB104" s="99"/>
      <c r="DC104" s="99"/>
      <c r="DD104" s="98"/>
      <c r="DE104" s="98"/>
      <c r="DF104" s="98"/>
      <c r="DG104" s="98"/>
      <c r="DH104" s="98"/>
      <c r="DI104" s="98"/>
      <c r="DJ104" s="98"/>
      <c r="DK104" s="98"/>
      <c r="DL104" s="98"/>
      <c r="DM104" s="98"/>
      <c r="DN104" s="98"/>
      <c r="DO104" s="98"/>
      <c r="DP104" s="98"/>
      <c r="DQ104" s="98"/>
      <c r="DR104" s="98"/>
    </row>
    <row r="105" spans="1:122" s="68" customFormat="1" ht="27.75" customHeight="1" x14ac:dyDescent="0.25">
      <c r="A105" s="258" t="s">
        <v>2</v>
      </c>
      <c r="B105" s="81" t="s">
        <v>209</v>
      </c>
      <c r="C105" s="82" t="s">
        <v>208</v>
      </c>
      <c r="D105" s="81" t="s">
        <v>207</v>
      </c>
      <c r="E105" s="97">
        <v>301</v>
      </c>
      <c r="F105" s="78" t="s">
        <v>166</v>
      </c>
      <c r="G105" s="227">
        <v>325000000</v>
      </c>
      <c r="H105" s="79">
        <f t="shared" ref="H105:H120" si="156">+CB105</f>
        <v>34078248</v>
      </c>
      <c r="I105" s="79">
        <f t="shared" ref="I105:I120" si="157">M105-H105</f>
        <v>41921752</v>
      </c>
      <c r="J105" s="78"/>
      <c r="K105" s="78"/>
      <c r="L105" s="78"/>
      <c r="M105" s="75">
        <f t="shared" ref="M105:M120" si="158">SUM(N105:AG105)</f>
        <v>76000000</v>
      </c>
      <c r="N105" s="75"/>
      <c r="O105" s="75">
        <f>6985144-6985144</f>
        <v>0</v>
      </c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>
        <v>6985144</v>
      </c>
      <c r="AD105" s="75">
        <v>69014856</v>
      </c>
      <c r="AE105" s="75"/>
      <c r="AF105" s="75"/>
      <c r="AG105" s="75"/>
      <c r="AI105" s="25">
        <f t="shared" ref="AI105:AI136" si="159">+AJ105/M105</f>
        <v>0.90809021052631578</v>
      </c>
      <c r="AJ105" s="75">
        <f t="shared" ref="AJ105:AJ120" si="160">SUM(AK105:BD105)</f>
        <v>69014856</v>
      </c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>
        <f>+'[9]ENERO 2015'!$W$295</f>
        <v>69014856</v>
      </c>
      <c r="BB105" s="75"/>
      <c r="BC105" s="75"/>
      <c r="BD105" s="75"/>
      <c r="BE105" s="25">
        <f t="shared" ref="BE105:BE136" si="161">1-AI105</f>
        <v>9.1909789473684222E-2</v>
      </c>
      <c r="BF105" s="75">
        <f t="shared" ref="BF105:BF120" si="162">SUM(BG105:BZ105)</f>
        <v>6985144</v>
      </c>
      <c r="BG105" s="75">
        <f t="shared" ref="BG105:BG112" si="163">+N105-AK105</f>
        <v>0</v>
      </c>
      <c r="BH105" s="75">
        <f t="shared" ref="BH105:BH112" si="164">O105-AL105</f>
        <v>0</v>
      </c>
      <c r="BI105" s="75"/>
      <c r="BJ105" s="75">
        <f t="shared" ref="BJ105:BJ112" si="165">Q105-AN105</f>
        <v>0</v>
      </c>
      <c r="BK105" s="75"/>
      <c r="BL105" s="75">
        <f t="shared" ref="BL105:BM110" si="166">+S105-AP105</f>
        <v>0</v>
      </c>
      <c r="BM105" s="75">
        <f t="shared" si="166"/>
        <v>0</v>
      </c>
      <c r="BN105" s="75"/>
      <c r="BO105" s="75"/>
      <c r="BP105" s="75"/>
      <c r="BQ105" s="75"/>
      <c r="BR105" s="75">
        <f t="shared" ref="BR105:BW110" si="167">+Y105-AV105</f>
        <v>0</v>
      </c>
      <c r="BS105" s="75">
        <f t="shared" si="167"/>
        <v>0</v>
      </c>
      <c r="BT105" s="75">
        <f t="shared" si="167"/>
        <v>0</v>
      </c>
      <c r="BU105" s="75">
        <f t="shared" si="167"/>
        <v>0</v>
      </c>
      <c r="BV105" s="75">
        <f t="shared" si="167"/>
        <v>6985144</v>
      </c>
      <c r="BW105" s="75">
        <f t="shared" si="167"/>
        <v>0</v>
      </c>
      <c r="BX105" s="75"/>
      <c r="BY105" s="75"/>
      <c r="BZ105" s="75">
        <f t="shared" ref="BZ105:BZ112" si="168">+AG105-BD105</f>
        <v>0</v>
      </c>
      <c r="CA105" s="25">
        <f t="shared" ref="CA105:CA136" si="169">+CB105/M105</f>
        <v>0.44839800000000002</v>
      </c>
      <c r="CB105" s="75">
        <f t="shared" ref="CB105:CB120" si="170">SUM(CC105:CV105)</f>
        <v>34078248</v>
      </c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>
        <f>+'[1]AGOSTO 2015'!$H$820</f>
        <v>34078248</v>
      </c>
      <c r="CT105" s="75"/>
      <c r="CU105" s="75"/>
      <c r="CV105" s="75"/>
      <c r="CW105" s="25">
        <f t="shared" ref="CW105:CW136" si="171">1-CA105</f>
        <v>0.55160199999999993</v>
      </c>
      <c r="CX105" s="75">
        <f t="shared" ref="CX105:CX120" si="172">SUM(CY105:DR105)</f>
        <v>41921752</v>
      </c>
      <c r="CY105" s="75">
        <f>N105-CC105</f>
        <v>0</v>
      </c>
      <c r="CZ105" s="75">
        <f>O105-CD105</f>
        <v>0</v>
      </c>
      <c r="DA105" s="75">
        <f>P105-CE105</f>
        <v>0</v>
      </c>
      <c r="DB105" s="75">
        <f>Q105-CF105</f>
        <v>0</v>
      </c>
      <c r="DC105" s="75"/>
      <c r="DD105" s="75">
        <f t="shared" ref="DD105:DE110" si="173">S105-CH105</f>
        <v>0</v>
      </c>
      <c r="DE105" s="75">
        <f t="shared" si="173"/>
        <v>0</v>
      </c>
      <c r="DF105" s="75"/>
      <c r="DG105" s="75">
        <f t="shared" ref="DG105:DH110" si="174">+V105-CK105</f>
        <v>0</v>
      </c>
      <c r="DH105" s="75">
        <f t="shared" si="174"/>
        <v>0</v>
      </c>
      <c r="DI105" s="75"/>
      <c r="DJ105" s="75">
        <f t="shared" ref="DJ105:DL110" si="175">Y105-CN105</f>
        <v>0</v>
      </c>
      <c r="DK105" s="75">
        <f t="shared" si="175"/>
        <v>0</v>
      </c>
      <c r="DL105" s="75">
        <f t="shared" si="175"/>
        <v>0</v>
      </c>
      <c r="DM105" s="75">
        <f t="shared" ref="DM105:DP110" si="176">+AB105-CQ105</f>
        <v>0</v>
      </c>
      <c r="DN105" s="75">
        <f t="shared" si="176"/>
        <v>6985144</v>
      </c>
      <c r="DO105" s="75">
        <f t="shared" si="176"/>
        <v>34936608</v>
      </c>
      <c r="DP105" s="75">
        <f t="shared" si="176"/>
        <v>0</v>
      </c>
      <c r="DQ105" s="75"/>
      <c r="DR105" s="75">
        <f t="shared" ref="DR105:DR112" si="177">+AG105-CV105</f>
        <v>0</v>
      </c>
    </row>
    <row r="106" spans="1:122" s="68" customFormat="1" ht="22.5" customHeight="1" x14ac:dyDescent="0.25">
      <c r="A106" s="258"/>
      <c r="B106" s="81"/>
      <c r="C106" s="82" t="s">
        <v>206</v>
      </c>
      <c r="D106" s="81" t="s">
        <v>205</v>
      </c>
      <c r="E106" s="97">
        <v>301</v>
      </c>
      <c r="F106" s="78" t="s">
        <v>166</v>
      </c>
      <c r="G106" s="228"/>
      <c r="H106" s="79">
        <f t="shared" si="156"/>
        <v>31238612</v>
      </c>
      <c r="I106" s="79">
        <f t="shared" si="157"/>
        <v>23761388</v>
      </c>
      <c r="J106" s="78"/>
      <c r="K106" s="78"/>
      <c r="L106" s="78"/>
      <c r="M106" s="75">
        <f t="shared" si="158"/>
        <v>55000000</v>
      </c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>
        <v>55000000</v>
      </c>
      <c r="AE106" s="75"/>
      <c r="AF106" s="75"/>
      <c r="AG106" s="75"/>
      <c r="AI106" s="25">
        <f t="shared" si="159"/>
        <v>1</v>
      </c>
      <c r="AJ106" s="75">
        <f t="shared" si="160"/>
        <v>55000000</v>
      </c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>
        <f>+'[9]ENERO 2015'!$W$301</f>
        <v>55000000</v>
      </c>
      <c r="BB106" s="75"/>
      <c r="BC106" s="75"/>
      <c r="BD106" s="75"/>
      <c r="BE106" s="25">
        <f t="shared" si="161"/>
        <v>0</v>
      </c>
      <c r="BF106" s="75">
        <f t="shared" si="162"/>
        <v>0</v>
      </c>
      <c r="BG106" s="75">
        <f t="shared" si="163"/>
        <v>0</v>
      </c>
      <c r="BH106" s="75">
        <f t="shared" si="164"/>
        <v>0</v>
      </c>
      <c r="BI106" s="75"/>
      <c r="BJ106" s="75">
        <f t="shared" si="165"/>
        <v>0</v>
      </c>
      <c r="BK106" s="75"/>
      <c r="BL106" s="75">
        <f t="shared" si="166"/>
        <v>0</v>
      </c>
      <c r="BM106" s="75">
        <f t="shared" si="166"/>
        <v>0</v>
      </c>
      <c r="BN106" s="75"/>
      <c r="BO106" s="75"/>
      <c r="BP106" s="75"/>
      <c r="BQ106" s="75"/>
      <c r="BR106" s="75">
        <f t="shared" si="167"/>
        <v>0</v>
      </c>
      <c r="BS106" s="75">
        <f t="shared" si="167"/>
        <v>0</v>
      </c>
      <c r="BT106" s="75">
        <f t="shared" si="167"/>
        <v>0</v>
      </c>
      <c r="BU106" s="75">
        <f t="shared" si="167"/>
        <v>0</v>
      </c>
      <c r="BV106" s="75">
        <f t="shared" si="167"/>
        <v>0</v>
      </c>
      <c r="BW106" s="75">
        <f t="shared" si="167"/>
        <v>0</v>
      </c>
      <c r="BX106" s="75"/>
      <c r="BY106" s="75"/>
      <c r="BZ106" s="75">
        <f t="shared" si="168"/>
        <v>0</v>
      </c>
      <c r="CA106" s="25">
        <f t="shared" si="169"/>
        <v>0.56797476363636368</v>
      </c>
      <c r="CB106" s="75">
        <f t="shared" si="170"/>
        <v>31238612</v>
      </c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>
        <f>+'[1]AGOSTO 2015'!$H$838</f>
        <v>31238612</v>
      </c>
      <c r="CT106" s="75"/>
      <c r="CU106" s="75"/>
      <c r="CV106" s="75"/>
      <c r="CW106" s="25">
        <f t="shared" si="171"/>
        <v>0.43202523636363632</v>
      </c>
      <c r="CX106" s="75">
        <f t="shared" si="172"/>
        <v>23761388</v>
      </c>
      <c r="CY106" s="75">
        <f t="shared" ref="CY106:CY112" si="178">N106-CC106</f>
        <v>0</v>
      </c>
      <c r="CZ106" s="75"/>
      <c r="DA106" s="75"/>
      <c r="DB106" s="75">
        <f>Q106-CF106</f>
        <v>0</v>
      </c>
      <c r="DC106" s="75"/>
      <c r="DD106" s="75">
        <f t="shared" si="173"/>
        <v>0</v>
      </c>
      <c r="DE106" s="75">
        <f t="shared" si="173"/>
        <v>0</v>
      </c>
      <c r="DF106" s="75"/>
      <c r="DG106" s="75">
        <f t="shared" si="174"/>
        <v>0</v>
      </c>
      <c r="DH106" s="75">
        <f t="shared" si="174"/>
        <v>0</v>
      </c>
      <c r="DI106" s="75"/>
      <c r="DJ106" s="75">
        <f t="shared" si="175"/>
        <v>0</v>
      </c>
      <c r="DK106" s="75">
        <f t="shared" si="175"/>
        <v>0</v>
      </c>
      <c r="DL106" s="75">
        <f t="shared" si="175"/>
        <v>0</v>
      </c>
      <c r="DM106" s="75">
        <f t="shared" si="176"/>
        <v>0</v>
      </c>
      <c r="DN106" s="75">
        <f t="shared" si="176"/>
        <v>0</v>
      </c>
      <c r="DO106" s="75">
        <f t="shared" si="176"/>
        <v>23761388</v>
      </c>
      <c r="DP106" s="75">
        <f t="shared" si="176"/>
        <v>0</v>
      </c>
      <c r="DQ106" s="75"/>
      <c r="DR106" s="75">
        <f t="shared" si="177"/>
        <v>0</v>
      </c>
    </row>
    <row r="107" spans="1:122" s="68" customFormat="1" ht="23.25" customHeight="1" x14ac:dyDescent="0.25">
      <c r="A107" s="258"/>
      <c r="B107" s="81"/>
      <c r="C107" s="82" t="s">
        <v>204</v>
      </c>
      <c r="D107" s="81" t="s">
        <v>203</v>
      </c>
      <c r="E107" s="97">
        <v>301</v>
      </c>
      <c r="F107" s="78" t="s">
        <v>166</v>
      </c>
      <c r="G107" s="228"/>
      <c r="H107" s="79">
        <f t="shared" si="156"/>
        <v>55832905</v>
      </c>
      <c r="I107" s="79">
        <f t="shared" si="157"/>
        <v>4167095</v>
      </c>
      <c r="J107" s="78"/>
      <c r="K107" s="78"/>
      <c r="L107" s="78"/>
      <c r="M107" s="75">
        <f t="shared" si="158"/>
        <v>60000000</v>
      </c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>
        <v>60000000</v>
      </c>
      <c r="AE107" s="75"/>
      <c r="AF107" s="75"/>
      <c r="AG107" s="75"/>
      <c r="AI107" s="25">
        <f t="shared" si="159"/>
        <v>1</v>
      </c>
      <c r="AJ107" s="75">
        <f t="shared" si="160"/>
        <v>60000000</v>
      </c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>
        <f>+'[9]ENERO 2015'!$G$305</f>
        <v>60000000</v>
      </c>
      <c r="BB107" s="75"/>
      <c r="BC107" s="75"/>
      <c r="BD107" s="75"/>
      <c r="BE107" s="25">
        <f t="shared" si="161"/>
        <v>0</v>
      </c>
      <c r="BF107" s="75">
        <f t="shared" si="162"/>
        <v>0</v>
      </c>
      <c r="BG107" s="75">
        <f t="shared" si="163"/>
        <v>0</v>
      </c>
      <c r="BH107" s="75">
        <f t="shared" si="164"/>
        <v>0</v>
      </c>
      <c r="BI107" s="75"/>
      <c r="BJ107" s="75">
        <f t="shared" si="165"/>
        <v>0</v>
      </c>
      <c r="BK107" s="75"/>
      <c r="BL107" s="75">
        <f t="shared" si="166"/>
        <v>0</v>
      </c>
      <c r="BM107" s="75">
        <f t="shared" si="166"/>
        <v>0</v>
      </c>
      <c r="BN107" s="75"/>
      <c r="BO107" s="75"/>
      <c r="BP107" s="75"/>
      <c r="BQ107" s="75"/>
      <c r="BR107" s="75">
        <f t="shared" si="167"/>
        <v>0</v>
      </c>
      <c r="BS107" s="75">
        <f t="shared" si="167"/>
        <v>0</v>
      </c>
      <c r="BT107" s="75">
        <f t="shared" si="167"/>
        <v>0</v>
      </c>
      <c r="BU107" s="75">
        <f t="shared" si="167"/>
        <v>0</v>
      </c>
      <c r="BV107" s="75">
        <f t="shared" si="167"/>
        <v>0</v>
      </c>
      <c r="BW107" s="75">
        <f t="shared" si="167"/>
        <v>0</v>
      </c>
      <c r="BX107" s="75"/>
      <c r="BY107" s="75"/>
      <c r="BZ107" s="75">
        <f t="shared" si="168"/>
        <v>0</v>
      </c>
      <c r="CA107" s="25">
        <f t="shared" si="169"/>
        <v>0.93054841666666666</v>
      </c>
      <c r="CB107" s="75">
        <f t="shared" si="170"/>
        <v>55832905</v>
      </c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>
        <f>+'[1]AGOSTO 2015'!$H$851</f>
        <v>55832905</v>
      </c>
      <c r="CT107" s="75"/>
      <c r="CU107" s="75"/>
      <c r="CV107" s="75"/>
      <c r="CW107" s="25">
        <f t="shared" si="171"/>
        <v>6.9451583333333344E-2</v>
      </c>
      <c r="CX107" s="75">
        <f t="shared" si="172"/>
        <v>4167095</v>
      </c>
      <c r="CY107" s="75">
        <f t="shared" si="178"/>
        <v>0</v>
      </c>
      <c r="CZ107" s="75"/>
      <c r="DA107" s="75"/>
      <c r="DB107" s="75">
        <f>Q107-CF107</f>
        <v>0</v>
      </c>
      <c r="DC107" s="75"/>
      <c r="DD107" s="75">
        <f t="shared" si="173"/>
        <v>0</v>
      </c>
      <c r="DE107" s="75">
        <f t="shared" si="173"/>
        <v>0</v>
      </c>
      <c r="DF107" s="75"/>
      <c r="DG107" s="75">
        <f t="shared" si="174"/>
        <v>0</v>
      </c>
      <c r="DH107" s="75">
        <f t="shared" si="174"/>
        <v>0</v>
      </c>
      <c r="DI107" s="75"/>
      <c r="DJ107" s="75">
        <f t="shared" si="175"/>
        <v>0</v>
      </c>
      <c r="DK107" s="75">
        <f t="shared" si="175"/>
        <v>0</v>
      </c>
      <c r="DL107" s="75">
        <f t="shared" si="175"/>
        <v>0</v>
      </c>
      <c r="DM107" s="75">
        <f t="shared" si="176"/>
        <v>0</v>
      </c>
      <c r="DN107" s="75">
        <f t="shared" si="176"/>
        <v>0</v>
      </c>
      <c r="DO107" s="75">
        <f t="shared" si="176"/>
        <v>4167095</v>
      </c>
      <c r="DP107" s="75">
        <f t="shared" si="176"/>
        <v>0</v>
      </c>
      <c r="DQ107" s="75"/>
      <c r="DR107" s="75">
        <f t="shared" si="177"/>
        <v>0</v>
      </c>
    </row>
    <row r="108" spans="1:122" ht="42" customHeight="1" x14ac:dyDescent="0.25">
      <c r="A108" s="258"/>
      <c r="B108" s="81"/>
      <c r="C108" s="82" t="s">
        <v>202</v>
      </c>
      <c r="D108" s="81" t="s">
        <v>201</v>
      </c>
      <c r="E108" s="97">
        <v>301</v>
      </c>
      <c r="F108" s="78" t="s">
        <v>200</v>
      </c>
      <c r="G108" s="228"/>
      <c r="H108" s="79">
        <f t="shared" si="156"/>
        <v>21234417</v>
      </c>
      <c r="I108" s="79">
        <f t="shared" si="157"/>
        <v>12765583</v>
      </c>
      <c r="J108" s="78"/>
      <c r="K108" s="78"/>
      <c r="L108" s="78"/>
      <c r="M108" s="75">
        <f t="shared" si="158"/>
        <v>34000000</v>
      </c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>
        <f>6000000+15000000+4000000+9000000</f>
        <v>34000000</v>
      </c>
      <c r="AI108" s="25">
        <f t="shared" si="159"/>
        <v>0.8529411764705882</v>
      </c>
      <c r="AJ108" s="75">
        <f t="shared" si="160"/>
        <v>29000000</v>
      </c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>
        <f>+'[2]JULIO 2015'!$AD$771</f>
        <v>29000000</v>
      </c>
      <c r="BE108" s="25">
        <f t="shared" si="161"/>
        <v>0.1470588235294118</v>
      </c>
      <c r="BF108" s="75">
        <f t="shared" si="162"/>
        <v>5000000</v>
      </c>
      <c r="BG108" s="75">
        <f t="shared" si="163"/>
        <v>0</v>
      </c>
      <c r="BH108" s="75">
        <f t="shared" si="164"/>
        <v>0</v>
      </c>
      <c r="BI108" s="75"/>
      <c r="BJ108" s="75">
        <f t="shared" si="165"/>
        <v>0</v>
      </c>
      <c r="BK108" s="75"/>
      <c r="BL108" s="75">
        <f t="shared" si="166"/>
        <v>0</v>
      </c>
      <c r="BM108" s="75">
        <f t="shared" si="166"/>
        <v>0</v>
      </c>
      <c r="BN108" s="75"/>
      <c r="BO108" s="75">
        <f t="shared" ref="BO108:BQ110" si="179">+V108-AS108</f>
        <v>0</v>
      </c>
      <c r="BP108" s="75">
        <f t="shared" si="179"/>
        <v>0</v>
      </c>
      <c r="BQ108" s="75">
        <f t="shared" si="179"/>
        <v>0</v>
      </c>
      <c r="BR108" s="75">
        <f t="shared" si="167"/>
        <v>0</v>
      </c>
      <c r="BS108" s="75">
        <f t="shared" si="167"/>
        <v>0</v>
      </c>
      <c r="BT108" s="75">
        <f t="shared" si="167"/>
        <v>0</v>
      </c>
      <c r="BU108" s="75">
        <f t="shared" si="167"/>
        <v>0</v>
      </c>
      <c r="BV108" s="75">
        <f t="shared" si="167"/>
        <v>0</v>
      </c>
      <c r="BW108" s="75">
        <f t="shared" si="167"/>
        <v>0</v>
      </c>
      <c r="BX108" s="75"/>
      <c r="BY108" s="75"/>
      <c r="BZ108" s="75">
        <f t="shared" si="168"/>
        <v>5000000</v>
      </c>
      <c r="CA108" s="25">
        <f t="shared" si="169"/>
        <v>0.62454167647058823</v>
      </c>
      <c r="CB108" s="75">
        <f t="shared" si="170"/>
        <v>21234417</v>
      </c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>
        <f>+'[1]AGOSTO 2015'!$H$864</f>
        <v>21234417</v>
      </c>
      <c r="CW108" s="25">
        <f t="shared" si="171"/>
        <v>0.37545832352941177</v>
      </c>
      <c r="CX108" s="75">
        <f t="shared" si="172"/>
        <v>12765583</v>
      </c>
      <c r="CY108" s="75">
        <f t="shared" si="178"/>
        <v>0</v>
      </c>
      <c r="CZ108" s="75"/>
      <c r="DA108" s="75"/>
      <c r="DB108" s="75">
        <f>Q108-CF108</f>
        <v>0</v>
      </c>
      <c r="DC108" s="75"/>
      <c r="DD108" s="75">
        <f t="shared" si="173"/>
        <v>0</v>
      </c>
      <c r="DE108" s="75">
        <f t="shared" si="173"/>
        <v>0</v>
      </c>
      <c r="DF108" s="75"/>
      <c r="DG108" s="75">
        <f t="shared" si="174"/>
        <v>0</v>
      </c>
      <c r="DH108" s="75">
        <f t="shared" si="174"/>
        <v>0</v>
      </c>
      <c r="DI108" s="75"/>
      <c r="DJ108" s="75">
        <f t="shared" si="175"/>
        <v>0</v>
      </c>
      <c r="DK108" s="75">
        <f t="shared" si="175"/>
        <v>0</v>
      </c>
      <c r="DL108" s="75">
        <f t="shared" si="175"/>
        <v>0</v>
      </c>
      <c r="DM108" s="75">
        <f t="shared" si="176"/>
        <v>0</v>
      </c>
      <c r="DN108" s="75">
        <f t="shared" si="176"/>
        <v>0</v>
      </c>
      <c r="DO108" s="75">
        <f t="shared" si="176"/>
        <v>0</v>
      </c>
      <c r="DP108" s="75">
        <f t="shared" si="176"/>
        <v>0</v>
      </c>
      <c r="DQ108" s="75"/>
      <c r="DR108" s="75">
        <f t="shared" si="177"/>
        <v>12765583</v>
      </c>
    </row>
    <row r="109" spans="1:122" ht="58.5" customHeight="1" x14ac:dyDescent="0.25">
      <c r="A109" s="258"/>
      <c r="B109" s="81"/>
      <c r="C109" s="82" t="s">
        <v>199</v>
      </c>
      <c r="D109" s="81" t="s">
        <v>198</v>
      </c>
      <c r="E109" s="97">
        <v>301</v>
      </c>
      <c r="F109" s="78" t="s">
        <v>166</v>
      </c>
      <c r="G109" s="228"/>
      <c r="H109" s="79">
        <f t="shared" si="156"/>
        <v>0</v>
      </c>
      <c r="I109" s="79">
        <f t="shared" si="157"/>
        <v>24000000</v>
      </c>
      <c r="J109" s="78"/>
      <c r="K109" s="78"/>
      <c r="L109" s="78"/>
      <c r="M109" s="75">
        <f t="shared" si="158"/>
        <v>24000000</v>
      </c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>
        <v>24000000</v>
      </c>
      <c r="AE109" s="75"/>
      <c r="AF109" s="75"/>
      <c r="AG109" s="75"/>
      <c r="AI109" s="25">
        <f t="shared" si="159"/>
        <v>0</v>
      </c>
      <c r="AJ109" s="75">
        <f t="shared" si="160"/>
        <v>0</v>
      </c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25">
        <f t="shared" si="161"/>
        <v>1</v>
      </c>
      <c r="BF109" s="75">
        <f t="shared" si="162"/>
        <v>24000000</v>
      </c>
      <c r="BG109" s="75">
        <f t="shared" si="163"/>
        <v>0</v>
      </c>
      <c r="BH109" s="75">
        <f t="shared" si="164"/>
        <v>0</v>
      </c>
      <c r="BI109" s="75"/>
      <c r="BJ109" s="75">
        <f t="shared" si="165"/>
        <v>0</v>
      </c>
      <c r="BK109" s="75"/>
      <c r="BL109" s="75">
        <f t="shared" si="166"/>
        <v>0</v>
      </c>
      <c r="BM109" s="75">
        <f t="shared" si="166"/>
        <v>0</v>
      </c>
      <c r="BN109" s="75"/>
      <c r="BO109" s="75">
        <f t="shared" si="179"/>
        <v>0</v>
      </c>
      <c r="BP109" s="75">
        <f t="shared" si="179"/>
        <v>0</v>
      </c>
      <c r="BQ109" s="75">
        <f t="shared" si="179"/>
        <v>0</v>
      </c>
      <c r="BR109" s="75">
        <f t="shared" si="167"/>
        <v>0</v>
      </c>
      <c r="BS109" s="75">
        <f t="shared" si="167"/>
        <v>0</v>
      </c>
      <c r="BT109" s="75">
        <f t="shared" si="167"/>
        <v>0</v>
      </c>
      <c r="BU109" s="75">
        <f t="shared" si="167"/>
        <v>0</v>
      </c>
      <c r="BV109" s="75">
        <f t="shared" si="167"/>
        <v>0</v>
      </c>
      <c r="BW109" s="75">
        <f t="shared" si="167"/>
        <v>24000000</v>
      </c>
      <c r="BX109" s="75"/>
      <c r="BY109" s="75"/>
      <c r="BZ109" s="75">
        <f t="shared" si="168"/>
        <v>0</v>
      </c>
      <c r="CA109" s="25">
        <f t="shared" si="169"/>
        <v>0</v>
      </c>
      <c r="CB109" s="75">
        <f t="shared" si="170"/>
        <v>0</v>
      </c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25">
        <f t="shared" si="171"/>
        <v>1</v>
      </c>
      <c r="CX109" s="75">
        <f t="shared" si="172"/>
        <v>24000000</v>
      </c>
      <c r="CY109" s="75">
        <f t="shared" si="178"/>
        <v>0</v>
      </c>
      <c r="CZ109" s="75"/>
      <c r="DA109" s="75"/>
      <c r="DB109" s="75">
        <f>Q109-CF109</f>
        <v>0</v>
      </c>
      <c r="DC109" s="75"/>
      <c r="DD109" s="75">
        <f t="shared" si="173"/>
        <v>0</v>
      </c>
      <c r="DE109" s="75">
        <f t="shared" si="173"/>
        <v>0</v>
      </c>
      <c r="DF109" s="75"/>
      <c r="DG109" s="75">
        <f t="shared" si="174"/>
        <v>0</v>
      </c>
      <c r="DH109" s="75">
        <f t="shared" si="174"/>
        <v>0</v>
      </c>
      <c r="DI109" s="75"/>
      <c r="DJ109" s="75">
        <f t="shared" si="175"/>
        <v>0</v>
      </c>
      <c r="DK109" s="75">
        <f t="shared" si="175"/>
        <v>0</v>
      </c>
      <c r="DL109" s="75">
        <f t="shared" si="175"/>
        <v>0</v>
      </c>
      <c r="DM109" s="75">
        <f t="shared" si="176"/>
        <v>0</v>
      </c>
      <c r="DN109" s="75">
        <f t="shared" si="176"/>
        <v>0</v>
      </c>
      <c r="DO109" s="75">
        <f t="shared" si="176"/>
        <v>24000000</v>
      </c>
      <c r="DP109" s="75">
        <f t="shared" si="176"/>
        <v>0</v>
      </c>
      <c r="DQ109" s="75"/>
      <c r="DR109" s="75">
        <f t="shared" si="177"/>
        <v>0</v>
      </c>
    </row>
    <row r="110" spans="1:122" ht="33" customHeight="1" x14ac:dyDescent="0.25">
      <c r="A110" s="258"/>
      <c r="B110" s="81"/>
      <c r="C110" s="82" t="s">
        <v>197</v>
      </c>
      <c r="D110" s="81" t="s">
        <v>196</v>
      </c>
      <c r="E110" s="97">
        <v>301</v>
      </c>
      <c r="F110" s="78" t="s">
        <v>166</v>
      </c>
      <c r="G110" s="228"/>
      <c r="H110" s="79">
        <f t="shared" si="156"/>
        <v>20728499</v>
      </c>
      <c r="I110" s="79">
        <f t="shared" si="157"/>
        <v>64271501</v>
      </c>
      <c r="J110" s="78"/>
      <c r="K110" s="78"/>
      <c r="L110" s="78"/>
      <c r="M110" s="75">
        <f t="shared" si="158"/>
        <v>85000000</v>
      </c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>
        <v>11406867</v>
      </c>
      <c r="AB110" s="75"/>
      <c r="AC110" s="75"/>
      <c r="AD110" s="75">
        <v>73593133</v>
      </c>
      <c r="AE110" s="75"/>
      <c r="AF110" s="75"/>
      <c r="AG110" s="75"/>
      <c r="AI110" s="25">
        <f t="shared" si="159"/>
        <v>1</v>
      </c>
      <c r="AJ110" s="75">
        <f t="shared" si="160"/>
        <v>85000000</v>
      </c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>
        <f>+'[9]ENERO 2015'!$T$326</f>
        <v>11406867</v>
      </c>
      <c r="AY110" s="75"/>
      <c r="AZ110" s="75"/>
      <c r="BA110" s="75">
        <f>+'[9]ENERO 2015'!$W$326</f>
        <v>73593133</v>
      </c>
      <c r="BB110" s="75"/>
      <c r="BC110" s="75"/>
      <c r="BD110" s="75"/>
      <c r="BE110" s="25">
        <f t="shared" si="161"/>
        <v>0</v>
      </c>
      <c r="BF110" s="75">
        <f t="shared" si="162"/>
        <v>0</v>
      </c>
      <c r="BG110" s="75">
        <f t="shared" si="163"/>
        <v>0</v>
      </c>
      <c r="BH110" s="75">
        <f t="shared" si="164"/>
        <v>0</v>
      </c>
      <c r="BI110" s="75"/>
      <c r="BJ110" s="75">
        <f t="shared" si="165"/>
        <v>0</v>
      </c>
      <c r="BK110" s="75"/>
      <c r="BL110" s="75">
        <f t="shared" si="166"/>
        <v>0</v>
      </c>
      <c r="BM110" s="75">
        <f t="shared" si="166"/>
        <v>0</v>
      </c>
      <c r="BN110" s="75"/>
      <c r="BO110" s="75">
        <f t="shared" si="179"/>
        <v>0</v>
      </c>
      <c r="BP110" s="75">
        <f t="shared" si="179"/>
        <v>0</v>
      </c>
      <c r="BQ110" s="75">
        <f t="shared" si="179"/>
        <v>0</v>
      </c>
      <c r="BR110" s="75">
        <f t="shared" si="167"/>
        <v>0</v>
      </c>
      <c r="BS110" s="75">
        <f t="shared" si="167"/>
        <v>0</v>
      </c>
      <c r="BT110" s="75">
        <f t="shared" si="167"/>
        <v>0</v>
      </c>
      <c r="BU110" s="75">
        <f t="shared" si="167"/>
        <v>0</v>
      </c>
      <c r="BV110" s="75">
        <f t="shared" si="167"/>
        <v>0</v>
      </c>
      <c r="BW110" s="75">
        <f t="shared" si="167"/>
        <v>0</v>
      </c>
      <c r="BX110" s="75"/>
      <c r="BY110" s="75"/>
      <c r="BZ110" s="75">
        <f t="shared" si="168"/>
        <v>0</v>
      </c>
      <c r="CA110" s="25">
        <f t="shared" si="169"/>
        <v>0.24386469411764705</v>
      </c>
      <c r="CB110" s="75">
        <f t="shared" si="170"/>
        <v>20728499</v>
      </c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>
        <v>8728499</v>
      </c>
      <c r="CQ110" s="75"/>
      <c r="CR110" s="75"/>
      <c r="CS110" s="75">
        <v>12000000</v>
      </c>
      <c r="CT110" s="75"/>
      <c r="CU110" s="75"/>
      <c r="CV110" s="75"/>
      <c r="CW110" s="25">
        <f t="shared" si="171"/>
        <v>0.756135305882353</v>
      </c>
      <c r="CX110" s="75">
        <f t="shared" si="172"/>
        <v>64271501</v>
      </c>
      <c r="CY110" s="75">
        <f t="shared" si="178"/>
        <v>0</v>
      </c>
      <c r="CZ110" s="75"/>
      <c r="DA110" s="75"/>
      <c r="DB110" s="75">
        <f>Q110-CF110</f>
        <v>0</v>
      </c>
      <c r="DC110" s="75"/>
      <c r="DD110" s="75">
        <f t="shared" si="173"/>
        <v>0</v>
      </c>
      <c r="DE110" s="75">
        <f t="shared" si="173"/>
        <v>0</v>
      </c>
      <c r="DF110" s="75"/>
      <c r="DG110" s="75">
        <f t="shared" si="174"/>
        <v>0</v>
      </c>
      <c r="DH110" s="75">
        <f t="shared" si="174"/>
        <v>0</v>
      </c>
      <c r="DI110" s="75"/>
      <c r="DJ110" s="75">
        <f t="shared" si="175"/>
        <v>0</v>
      </c>
      <c r="DK110" s="75">
        <f t="shared" si="175"/>
        <v>0</v>
      </c>
      <c r="DL110" s="75">
        <f t="shared" si="175"/>
        <v>2678368</v>
      </c>
      <c r="DM110" s="75">
        <f t="shared" si="176"/>
        <v>0</v>
      </c>
      <c r="DN110" s="75">
        <f t="shared" si="176"/>
        <v>0</v>
      </c>
      <c r="DO110" s="75">
        <f t="shared" si="176"/>
        <v>61593133</v>
      </c>
      <c r="DP110" s="75">
        <f t="shared" si="176"/>
        <v>0</v>
      </c>
      <c r="DQ110" s="75"/>
      <c r="DR110" s="75">
        <f t="shared" si="177"/>
        <v>0</v>
      </c>
    </row>
    <row r="111" spans="1:122" ht="26.25" customHeight="1" x14ac:dyDescent="0.25">
      <c r="A111" s="258"/>
      <c r="B111" s="81"/>
      <c r="C111" s="82" t="s">
        <v>195</v>
      </c>
      <c r="D111" s="81" t="s">
        <v>194</v>
      </c>
      <c r="E111" s="97">
        <v>301</v>
      </c>
      <c r="F111" s="78" t="s">
        <v>193</v>
      </c>
      <c r="G111" s="228"/>
      <c r="H111" s="79">
        <f t="shared" si="156"/>
        <v>21520377</v>
      </c>
      <c r="I111" s="79">
        <f t="shared" si="157"/>
        <v>58479623</v>
      </c>
      <c r="J111" s="78"/>
      <c r="K111" s="78"/>
      <c r="L111" s="78"/>
      <c r="M111" s="75">
        <f t="shared" si="158"/>
        <v>80000000</v>
      </c>
      <c r="N111" s="75">
        <v>80000000</v>
      </c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I111" s="25">
        <f t="shared" si="159"/>
        <v>1</v>
      </c>
      <c r="AJ111" s="75">
        <f t="shared" si="160"/>
        <v>80000000</v>
      </c>
      <c r="AK111" s="75">
        <f>+'[4]MARZO 2015'!$J$488</f>
        <v>80000000</v>
      </c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25">
        <f t="shared" si="161"/>
        <v>0</v>
      </c>
      <c r="BF111" s="75">
        <f t="shared" si="162"/>
        <v>0</v>
      </c>
      <c r="BG111" s="75">
        <f t="shared" si="163"/>
        <v>0</v>
      </c>
      <c r="BH111" s="75">
        <f t="shared" si="164"/>
        <v>0</v>
      </c>
      <c r="BI111" s="75"/>
      <c r="BJ111" s="75">
        <f t="shared" si="165"/>
        <v>0</v>
      </c>
      <c r="BK111" s="75"/>
      <c r="BL111" s="75"/>
      <c r="BM111" s="75"/>
      <c r="BN111" s="75"/>
      <c r="BO111" s="75"/>
      <c r="BP111" s="75"/>
      <c r="BQ111" s="75"/>
      <c r="BR111" s="75"/>
      <c r="BS111" s="75">
        <f t="shared" ref="BS111:BV112" si="180">+Z111-AW111</f>
        <v>0</v>
      </c>
      <c r="BT111" s="75">
        <f t="shared" si="180"/>
        <v>0</v>
      </c>
      <c r="BU111" s="75">
        <f t="shared" si="180"/>
        <v>0</v>
      </c>
      <c r="BV111" s="75">
        <f t="shared" si="180"/>
        <v>0</v>
      </c>
      <c r="BW111" s="75"/>
      <c r="BX111" s="75"/>
      <c r="BY111" s="75"/>
      <c r="BZ111" s="75">
        <f t="shared" si="168"/>
        <v>0</v>
      </c>
      <c r="CA111" s="25">
        <f t="shared" si="169"/>
        <v>0.26900471250000002</v>
      </c>
      <c r="CB111" s="75">
        <f t="shared" si="170"/>
        <v>21520377</v>
      </c>
      <c r="CC111" s="75">
        <f>+'[1]AGOSTO 2015'!$H$910</f>
        <v>21520377</v>
      </c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5"/>
      <c r="CV111" s="75"/>
      <c r="CW111" s="25">
        <f t="shared" si="171"/>
        <v>0.73099528749999998</v>
      </c>
      <c r="CX111" s="75">
        <f t="shared" si="172"/>
        <v>58479623</v>
      </c>
      <c r="CY111" s="75">
        <f t="shared" si="178"/>
        <v>58479623</v>
      </c>
      <c r="CZ111" s="75"/>
      <c r="DA111" s="75"/>
      <c r="DB111" s="75"/>
      <c r="DC111" s="75"/>
      <c r="DD111" s="75">
        <f>S111-CH111</f>
        <v>0</v>
      </c>
      <c r="DE111" s="75"/>
      <c r="DF111" s="75"/>
      <c r="DG111" s="75"/>
      <c r="DH111" s="75"/>
      <c r="DI111" s="75"/>
      <c r="DJ111" s="75"/>
      <c r="DK111" s="75"/>
      <c r="DL111" s="75"/>
      <c r="DM111" s="75">
        <f>+AB111-CQ111</f>
        <v>0</v>
      </c>
      <c r="DN111" s="75"/>
      <c r="DO111" s="75"/>
      <c r="DP111" s="75"/>
      <c r="DQ111" s="75"/>
      <c r="DR111" s="75">
        <f t="shared" si="177"/>
        <v>0</v>
      </c>
    </row>
    <row r="112" spans="1:122" ht="26.25" customHeight="1" x14ac:dyDescent="0.25">
      <c r="A112" s="258"/>
      <c r="B112" s="81"/>
      <c r="C112" s="82" t="s">
        <v>192</v>
      </c>
      <c r="D112" s="81" t="s">
        <v>191</v>
      </c>
      <c r="E112" s="97">
        <v>301</v>
      </c>
      <c r="F112" s="78" t="s">
        <v>35</v>
      </c>
      <c r="G112" s="228"/>
      <c r="H112" s="79">
        <f t="shared" si="156"/>
        <v>100000000</v>
      </c>
      <c r="I112" s="79">
        <f t="shared" si="157"/>
        <v>0</v>
      </c>
      <c r="J112" s="78"/>
      <c r="K112" s="78"/>
      <c r="L112" s="78"/>
      <c r="M112" s="75">
        <f t="shared" si="158"/>
        <v>100000000</v>
      </c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>
        <v>100000000</v>
      </c>
      <c r="AC112" s="75"/>
      <c r="AD112" s="75"/>
      <c r="AE112" s="75"/>
      <c r="AF112" s="75"/>
      <c r="AG112" s="75"/>
      <c r="AI112" s="25">
        <f t="shared" si="159"/>
        <v>1</v>
      </c>
      <c r="AJ112" s="75">
        <f t="shared" si="160"/>
        <v>100000000</v>
      </c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>
        <f>+'[4]MARZO 2015'!$W$496</f>
        <v>100000000</v>
      </c>
      <c r="AZ112" s="75"/>
      <c r="BA112" s="75"/>
      <c r="BB112" s="75"/>
      <c r="BC112" s="75"/>
      <c r="BD112" s="75"/>
      <c r="BE112" s="25">
        <f t="shared" si="161"/>
        <v>0</v>
      </c>
      <c r="BF112" s="75">
        <f t="shared" si="162"/>
        <v>0</v>
      </c>
      <c r="BG112" s="75">
        <f t="shared" si="163"/>
        <v>0</v>
      </c>
      <c r="BH112" s="75">
        <f t="shared" si="164"/>
        <v>0</v>
      </c>
      <c r="BI112" s="75"/>
      <c r="BJ112" s="75">
        <f t="shared" si="165"/>
        <v>0</v>
      </c>
      <c r="BK112" s="75"/>
      <c r="BL112" s="75"/>
      <c r="BM112" s="75"/>
      <c r="BN112" s="75"/>
      <c r="BO112" s="75"/>
      <c r="BP112" s="75"/>
      <c r="BQ112" s="75"/>
      <c r="BR112" s="75"/>
      <c r="BS112" s="75">
        <f t="shared" si="180"/>
        <v>0</v>
      </c>
      <c r="BT112" s="75">
        <f t="shared" si="180"/>
        <v>0</v>
      </c>
      <c r="BU112" s="75">
        <f t="shared" si="180"/>
        <v>0</v>
      </c>
      <c r="BV112" s="75">
        <f t="shared" si="180"/>
        <v>0</v>
      </c>
      <c r="BW112" s="75"/>
      <c r="BX112" s="75"/>
      <c r="BY112" s="75"/>
      <c r="BZ112" s="75">
        <f t="shared" si="168"/>
        <v>0</v>
      </c>
      <c r="CA112" s="25">
        <f t="shared" si="169"/>
        <v>1</v>
      </c>
      <c r="CB112" s="75">
        <f t="shared" si="170"/>
        <v>100000000</v>
      </c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>
        <f>+'[3]ABRIL 2015'!$H$571</f>
        <v>100000000</v>
      </c>
      <c r="CR112" s="75"/>
      <c r="CS112" s="75"/>
      <c r="CT112" s="75"/>
      <c r="CU112" s="75"/>
      <c r="CV112" s="75"/>
      <c r="CW112" s="25">
        <f t="shared" si="171"/>
        <v>0</v>
      </c>
      <c r="CX112" s="75">
        <f t="shared" si="172"/>
        <v>0</v>
      </c>
      <c r="CY112" s="75">
        <f t="shared" si="178"/>
        <v>0</v>
      </c>
      <c r="CZ112" s="75"/>
      <c r="DA112" s="75"/>
      <c r="DB112" s="75"/>
      <c r="DC112" s="75"/>
      <c r="DD112" s="75">
        <f>S112-CH112</f>
        <v>0</v>
      </c>
      <c r="DE112" s="75"/>
      <c r="DF112" s="75"/>
      <c r="DG112" s="75"/>
      <c r="DH112" s="75"/>
      <c r="DI112" s="75"/>
      <c r="DJ112" s="75"/>
      <c r="DK112" s="75"/>
      <c r="DL112" s="75"/>
      <c r="DM112" s="75">
        <f>+AB112-CQ112</f>
        <v>0</v>
      </c>
      <c r="DN112" s="75"/>
      <c r="DO112" s="75"/>
      <c r="DP112" s="75"/>
      <c r="DQ112" s="75"/>
      <c r="DR112" s="75">
        <f t="shared" si="177"/>
        <v>0</v>
      </c>
    </row>
    <row r="113" spans="1:124" ht="33.75" customHeight="1" x14ac:dyDescent="0.25">
      <c r="A113" s="258"/>
      <c r="B113" s="81"/>
      <c r="C113" s="82" t="s">
        <v>190</v>
      </c>
      <c r="D113" s="81" t="s">
        <v>189</v>
      </c>
      <c r="E113" s="97">
        <v>301</v>
      </c>
      <c r="F113" s="78" t="s">
        <v>166</v>
      </c>
      <c r="G113" s="229"/>
      <c r="H113" s="79">
        <f t="shared" si="156"/>
        <v>0</v>
      </c>
      <c r="I113" s="79">
        <f t="shared" si="157"/>
        <v>30000000</v>
      </c>
      <c r="J113" s="78"/>
      <c r="K113" s="78"/>
      <c r="L113" s="78"/>
      <c r="M113" s="75">
        <f t="shared" si="158"/>
        <v>30000000</v>
      </c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>
        <v>30000000</v>
      </c>
      <c r="AD113" s="75"/>
      <c r="AE113" s="75"/>
      <c r="AF113" s="75"/>
      <c r="AG113" s="75"/>
      <c r="AI113" s="25">
        <f t="shared" si="159"/>
        <v>0</v>
      </c>
      <c r="AJ113" s="75">
        <f t="shared" si="160"/>
        <v>0</v>
      </c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25">
        <f t="shared" si="161"/>
        <v>1</v>
      </c>
      <c r="BF113" s="75">
        <f t="shared" si="162"/>
        <v>30000000</v>
      </c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>
        <f t="shared" ref="BV113:BV120" si="181">+AC113-AZ113</f>
        <v>30000000</v>
      </c>
      <c r="BW113" s="75"/>
      <c r="BX113" s="75"/>
      <c r="BY113" s="75"/>
      <c r="BZ113" s="75"/>
      <c r="CA113" s="25">
        <f t="shared" si="169"/>
        <v>0</v>
      </c>
      <c r="CB113" s="75">
        <f t="shared" si="170"/>
        <v>0</v>
      </c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5"/>
      <c r="CV113" s="75"/>
      <c r="CW113" s="25">
        <f t="shared" si="171"/>
        <v>1</v>
      </c>
      <c r="CX113" s="75">
        <f t="shared" si="172"/>
        <v>30000000</v>
      </c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>
        <f t="shared" ref="DN113:DN120" si="182">+AC113-CR113</f>
        <v>30000000</v>
      </c>
      <c r="DO113" s="75"/>
      <c r="DP113" s="75"/>
      <c r="DQ113" s="75"/>
      <c r="DR113" s="75"/>
    </row>
    <row r="114" spans="1:124" ht="44.25" customHeight="1" x14ac:dyDescent="0.25">
      <c r="A114" s="258"/>
      <c r="B114" s="81" t="s">
        <v>188</v>
      </c>
      <c r="C114" s="82" t="s">
        <v>187</v>
      </c>
      <c r="D114" s="81" t="s">
        <v>186</v>
      </c>
      <c r="E114" s="97">
        <v>301</v>
      </c>
      <c r="F114" s="78" t="s">
        <v>185</v>
      </c>
      <c r="G114" s="78">
        <v>304000000</v>
      </c>
      <c r="H114" s="79">
        <f t="shared" si="156"/>
        <v>208877300</v>
      </c>
      <c r="I114" s="79">
        <f t="shared" si="157"/>
        <v>103122700</v>
      </c>
      <c r="J114" s="78"/>
      <c r="K114" s="78"/>
      <c r="L114" s="78"/>
      <c r="M114" s="75">
        <f t="shared" si="158"/>
        <v>312000000</v>
      </c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>
        <v>300000000</v>
      </c>
      <c r="AB114" s="75"/>
      <c r="AC114" s="75"/>
      <c r="AD114" s="75"/>
      <c r="AE114" s="75"/>
      <c r="AF114" s="75"/>
      <c r="AG114" s="75">
        <f>4000000+8000000</f>
        <v>12000000</v>
      </c>
      <c r="AI114" s="25">
        <f t="shared" si="159"/>
        <v>0.99425641025641021</v>
      </c>
      <c r="AJ114" s="75">
        <f t="shared" si="160"/>
        <v>310208000</v>
      </c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>
        <f>+'[1]AGOSTO 2015'!$W$943</f>
        <v>298208000</v>
      </c>
      <c r="AY114" s="75"/>
      <c r="AZ114" s="75"/>
      <c r="BA114" s="75"/>
      <c r="BB114" s="75"/>
      <c r="BC114" s="75"/>
      <c r="BD114" s="75">
        <f>+'[2]JULIO 2015'!$AD$839</f>
        <v>12000000</v>
      </c>
      <c r="BE114" s="25">
        <f t="shared" si="161"/>
        <v>5.7435897435897942E-3</v>
      </c>
      <c r="BF114" s="75">
        <f t="shared" si="162"/>
        <v>1792000</v>
      </c>
      <c r="BG114" s="75">
        <f t="shared" ref="BG114:BG120" si="183">+N114-AK114</f>
        <v>0</v>
      </c>
      <c r="BH114" s="75">
        <f t="shared" ref="BH114:BH120" si="184">O114-AL114</f>
        <v>0</v>
      </c>
      <c r="BI114" s="75"/>
      <c r="BJ114" s="75">
        <f t="shared" ref="BJ114:BJ120" si="185">Q114-AN114</f>
        <v>0</v>
      </c>
      <c r="BK114" s="75"/>
      <c r="BL114" s="75">
        <f t="shared" ref="BL114:BM120" si="186">+S114-AP114</f>
        <v>0</v>
      </c>
      <c r="BM114" s="75">
        <f t="shared" si="186"/>
        <v>0</v>
      </c>
      <c r="BN114" s="75"/>
      <c r="BO114" s="75">
        <f t="shared" ref="BO114:BU115" si="187">+V114-AS114</f>
        <v>0</v>
      </c>
      <c r="BP114" s="75">
        <f t="shared" si="187"/>
        <v>0</v>
      </c>
      <c r="BQ114" s="75">
        <f t="shared" si="187"/>
        <v>0</v>
      </c>
      <c r="BR114" s="75">
        <f t="shared" si="187"/>
        <v>0</v>
      </c>
      <c r="BS114" s="75">
        <f t="shared" si="187"/>
        <v>0</v>
      </c>
      <c r="BT114" s="75">
        <f t="shared" si="187"/>
        <v>1792000</v>
      </c>
      <c r="BU114" s="75">
        <f t="shared" si="187"/>
        <v>0</v>
      </c>
      <c r="BV114" s="75">
        <f t="shared" si="181"/>
        <v>0</v>
      </c>
      <c r="BW114" s="75">
        <f t="shared" ref="BW114:BW120" si="188">+AD114-BA114</f>
        <v>0</v>
      </c>
      <c r="BX114" s="75"/>
      <c r="BY114" s="75"/>
      <c r="BZ114" s="75">
        <f t="shared" ref="BZ114:BZ120" si="189">+AG114-BD114</f>
        <v>0</v>
      </c>
      <c r="CA114" s="25">
        <f t="shared" si="169"/>
        <v>0.66947852564102561</v>
      </c>
      <c r="CB114" s="75">
        <f t="shared" si="170"/>
        <v>208877300</v>
      </c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>
        <f>+'[1]AGOSTO 2015'!$H$944+'[1]AGOSTO 2015'!$H$946</f>
        <v>207877300</v>
      </c>
      <c r="CQ114" s="75"/>
      <c r="CR114" s="75"/>
      <c r="CS114" s="75"/>
      <c r="CT114" s="75"/>
      <c r="CU114" s="75"/>
      <c r="CV114" s="75">
        <f>+'[10]MAYO 2015'!$H$662</f>
        <v>1000000</v>
      </c>
      <c r="CW114" s="25">
        <f t="shared" si="171"/>
        <v>0.33052147435897439</v>
      </c>
      <c r="CX114" s="75">
        <f t="shared" si="172"/>
        <v>103122700</v>
      </c>
      <c r="CY114" s="75">
        <f t="shared" ref="CY114:CY120" si="190">N114-CC114</f>
        <v>0</v>
      </c>
      <c r="CZ114" s="75"/>
      <c r="DA114" s="75"/>
      <c r="DB114" s="75">
        <f t="shared" ref="DB114:DB120" si="191">Q114-CF114</f>
        <v>0</v>
      </c>
      <c r="DC114" s="75"/>
      <c r="DD114" s="75">
        <f t="shared" ref="DD114:DE120" si="192">S114-CH114</f>
        <v>0</v>
      </c>
      <c r="DE114" s="75">
        <f t="shared" si="192"/>
        <v>0</v>
      </c>
      <c r="DF114" s="75"/>
      <c r="DG114" s="75">
        <f t="shared" ref="DG114:DH120" si="193">+V114-CK114</f>
        <v>0</v>
      </c>
      <c r="DH114" s="75">
        <f t="shared" si="193"/>
        <v>0</v>
      </c>
      <c r="DI114" s="75"/>
      <c r="DJ114" s="75">
        <f t="shared" ref="DJ114:DL120" si="194">Y114-CN114</f>
        <v>0</v>
      </c>
      <c r="DK114" s="75">
        <f t="shared" si="194"/>
        <v>0</v>
      </c>
      <c r="DL114" s="75">
        <f t="shared" si="194"/>
        <v>92122700</v>
      </c>
      <c r="DM114" s="75">
        <f t="shared" ref="DM114:DM120" si="195">+AB114-CQ114</f>
        <v>0</v>
      </c>
      <c r="DN114" s="75">
        <f t="shared" si="182"/>
        <v>0</v>
      </c>
      <c r="DO114" s="75">
        <f t="shared" ref="DO114:DP120" si="196">+AD114-CS114</f>
        <v>0</v>
      </c>
      <c r="DP114" s="75">
        <f t="shared" si="196"/>
        <v>0</v>
      </c>
      <c r="DQ114" s="75"/>
      <c r="DR114" s="75">
        <f t="shared" ref="DR114:DR120" si="197">+AG114-CV114</f>
        <v>11000000</v>
      </c>
    </row>
    <row r="115" spans="1:124" ht="71.25" customHeight="1" x14ac:dyDescent="0.25">
      <c r="A115" s="258"/>
      <c r="B115" s="81" t="s">
        <v>184</v>
      </c>
      <c r="C115" s="82" t="s">
        <v>183</v>
      </c>
      <c r="D115" s="81" t="s">
        <v>182</v>
      </c>
      <c r="E115" s="97">
        <v>301</v>
      </c>
      <c r="F115" s="78" t="s">
        <v>181</v>
      </c>
      <c r="G115" s="78">
        <v>306000000</v>
      </c>
      <c r="H115" s="79">
        <f t="shared" si="156"/>
        <v>129601634</v>
      </c>
      <c r="I115" s="79">
        <f t="shared" si="157"/>
        <v>187398366</v>
      </c>
      <c r="J115" s="78"/>
      <c r="K115" s="78"/>
      <c r="L115" s="78"/>
      <c r="M115" s="75">
        <f t="shared" si="158"/>
        <v>317000000</v>
      </c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>
        <v>300000000</v>
      </c>
      <c r="AB115" s="75"/>
      <c r="AC115" s="75"/>
      <c r="AD115" s="75"/>
      <c r="AE115" s="75"/>
      <c r="AF115" s="75"/>
      <c r="AG115" s="75">
        <f>1000000+5000000+11000000</f>
        <v>17000000</v>
      </c>
      <c r="AI115" s="25">
        <f t="shared" si="159"/>
        <v>0.93938264984227127</v>
      </c>
      <c r="AJ115" s="75">
        <f t="shared" si="160"/>
        <v>297784300</v>
      </c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>
        <f>+'[6]JUNIO 2015'!$W$749</f>
        <v>282584300</v>
      </c>
      <c r="AY115" s="75"/>
      <c r="AZ115" s="75"/>
      <c r="BA115" s="75"/>
      <c r="BB115" s="75"/>
      <c r="BC115" s="75"/>
      <c r="BD115" s="75">
        <f>+'[1]AGOSTO 2015'!$AD$997</f>
        <v>15200000</v>
      </c>
      <c r="BE115" s="25">
        <f t="shared" si="161"/>
        <v>6.0617350157728733E-2</v>
      </c>
      <c r="BF115" s="75">
        <f t="shared" si="162"/>
        <v>19215700</v>
      </c>
      <c r="BG115" s="75">
        <f t="shared" si="183"/>
        <v>0</v>
      </c>
      <c r="BH115" s="75">
        <f t="shared" si="184"/>
        <v>0</v>
      </c>
      <c r="BI115" s="75"/>
      <c r="BJ115" s="75">
        <f t="shared" si="185"/>
        <v>0</v>
      </c>
      <c r="BK115" s="75"/>
      <c r="BL115" s="75">
        <f t="shared" si="186"/>
        <v>0</v>
      </c>
      <c r="BM115" s="75">
        <f t="shared" si="186"/>
        <v>0</v>
      </c>
      <c r="BN115" s="75"/>
      <c r="BO115" s="75">
        <f t="shared" si="187"/>
        <v>0</v>
      </c>
      <c r="BP115" s="75">
        <f t="shared" si="187"/>
        <v>0</v>
      </c>
      <c r="BQ115" s="75">
        <f t="shared" si="187"/>
        <v>0</v>
      </c>
      <c r="BR115" s="75">
        <f t="shared" si="187"/>
        <v>0</v>
      </c>
      <c r="BS115" s="75">
        <f t="shared" si="187"/>
        <v>0</v>
      </c>
      <c r="BT115" s="75">
        <f t="shared" si="187"/>
        <v>17415700</v>
      </c>
      <c r="BU115" s="75">
        <f t="shared" si="187"/>
        <v>0</v>
      </c>
      <c r="BV115" s="75">
        <f t="shared" si="181"/>
        <v>0</v>
      </c>
      <c r="BW115" s="75">
        <f t="shared" si="188"/>
        <v>0</v>
      </c>
      <c r="BX115" s="75"/>
      <c r="BY115" s="75"/>
      <c r="BZ115" s="75">
        <f t="shared" si="189"/>
        <v>1800000</v>
      </c>
      <c r="CA115" s="25">
        <f t="shared" si="169"/>
        <v>0.40883796214511042</v>
      </c>
      <c r="CB115" s="75">
        <f t="shared" si="170"/>
        <v>129601634</v>
      </c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>
        <f>+'[1]AGOSTO 2015'!$H$999+'[1]AGOSTO 2015'!$H$1001+'[1]AGOSTO 2015'!$H$1003+'[1]AGOSTO 2015'!$H$1024</f>
        <v>125276634</v>
      </c>
      <c r="CQ115" s="75"/>
      <c r="CR115" s="75"/>
      <c r="CS115" s="75"/>
      <c r="CT115" s="75"/>
      <c r="CU115" s="75"/>
      <c r="CV115" s="75">
        <f>+'[1]AGOSTO 2015'!$H$998+'[1]AGOSTO 2015'!$H$1022+'[1]AGOSTO 2015'!$H$1025+'[1]AGOSTO 2015'!$H$1030</f>
        <v>4325000</v>
      </c>
      <c r="CW115" s="25">
        <f t="shared" si="171"/>
        <v>0.59116203785488963</v>
      </c>
      <c r="CX115" s="75">
        <f t="shared" si="172"/>
        <v>187398366</v>
      </c>
      <c r="CY115" s="75">
        <f t="shared" si="190"/>
        <v>0</v>
      </c>
      <c r="CZ115" s="75"/>
      <c r="DA115" s="75"/>
      <c r="DB115" s="75">
        <f t="shared" si="191"/>
        <v>0</v>
      </c>
      <c r="DC115" s="75"/>
      <c r="DD115" s="75">
        <f t="shared" si="192"/>
        <v>0</v>
      </c>
      <c r="DE115" s="75">
        <f t="shared" si="192"/>
        <v>0</v>
      </c>
      <c r="DF115" s="75"/>
      <c r="DG115" s="75">
        <f t="shared" si="193"/>
        <v>0</v>
      </c>
      <c r="DH115" s="75">
        <f t="shared" si="193"/>
        <v>0</v>
      </c>
      <c r="DI115" s="75"/>
      <c r="DJ115" s="75">
        <f t="shared" si="194"/>
        <v>0</v>
      </c>
      <c r="DK115" s="75">
        <f t="shared" si="194"/>
        <v>0</v>
      </c>
      <c r="DL115" s="75">
        <f t="shared" si="194"/>
        <v>174723366</v>
      </c>
      <c r="DM115" s="75">
        <f t="shared" si="195"/>
        <v>0</v>
      </c>
      <c r="DN115" s="75">
        <f t="shared" si="182"/>
        <v>0</v>
      </c>
      <c r="DO115" s="75">
        <f t="shared" si="196"/>
        <v>0</v>
      </c>
      <c r="DP115" s="75">
        <f t="shared" si="196"/>
        <v>0</v>
      </c>
      <c r="DQ115" s="75"/>
      <c r="DR115" s="75">
        <f t="shared" si="197"/>
        <v>12675000</v>
      </c>
    </row>
    <row r="116" spans="1:124" ht="29.25" customHeight="1" x14ac:dyDescent="0.25">
      <c r="A116" s="258"/>
      <c r="B116" s="81" t="s">
        <v>180</v>
      </c>
      <c r="C116" s="82" t="s">
        <v>179</v>
      </c>
      <c r="D116" s="81" t="s">
        <v>178</v>
      </c>
      <c r="E116" s="97">
        <v>301</v>
      </c>
      <c r="F116" s="78" t="s">
        <v>177</v>
      </c>
      <c r="G116" s="78">
        <v>67000000</v>
      </c>
      <c r="H116" s="79">
        <f t="shared" si="156"/>
        <v>3045000</v>
      </c>
      <c r="I116" s="79">
        <f t="shared" si="157"/>
        <v>16955000</v>
      </c>
      <c r="J116" s="78"/>
      <c r="K116" s="78"/>
      <c r="L116" s="78"/>
      <c r="M116" s="75">
        <f t="shared" si="158"/>
        <v>20000000</v>
      </c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>
        <f>67000000-52000000</f>
        <v>15000000</v>
      </c>
      <c r="AB116" s="75"/>
      <c r="AC116" s="75"/>
      <c r="AD116" s="75"/>
      <c r="AE116" s="75"/>
      <c r="AF116" s="75"/>
      <c r="AG116" s="75">
        <f>5000000</f>
        <v>5000000</v>
      </c>
      <c r="AI116" s="25">
        <f t="shared" si="159"/>
        <v>1</v>
      </c>
      <c r="AJ116" s="75">
        <f t="shared" si="160"/>
        <v>20000000</v>
      </c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>
        <f>+'[4]MARZO 2015'!$V$535</f>
        <v>15000000</v>
      </c>
      <c r="AY116" s="75"/>
      <c r="AZ116" s="75"/>
      <c r="BA116" s="75"/>
      <c r="BB116" s="75"/>
      <c r="BC116" s="75"/>
      <c r="BD116" s="75">
        <f>+'[6]JUNIO 2015'!$AD$780</f>
        <v>5000000</v>
      </c>
      <c r="BE116" s="25">
        <f t="shared" si="161"/>
        <v>0</v>
      </c>
      <c r="BF116" s="75">
        <f t="shared" si="162"/>
        <v>0</v>
      </c>
      <c r="BG116" s="75">
        <f t="shared" si="183"/>
        <v>0</v>
      </c>
      <c r="BH116" s="75">
        <f t="shared" si="184"/>
        <v>0</v>
      </c>
      <c r="BI116" s="75"/>
      <c r="BJ116" s="75">
        <f t="shared" si="185"/>
        <v>0</v>
      </c>
      <c r="BK116" s="75"/>
      <c r="BL116" s="75">
        <f t="shared" si="186"/>
        <v>0</v>
      </c>
      <c r="BM116" s="75">
        <f t="shared" si="186"/>
        <v>0</v>
      </c>
      <c r="BN116" s="75"/>
      <c r="BO116" s="75"/>
      <c r="BP116" s="75"/>
      <c r="BQ116" s="75"/>
      <c r="BR116" s="75">
        <f t="shared" ref="BR116:BU120" si="198">+Y116-AV116</f>
        <v>0</v>
      </c>
      <c r="BS116" s="75">
        <f t="shared" si="198"/>
        <v>0</v>
      </c>
      <c r="BT116" s="75">
        <f t="shared" si="198"/>
        <v>0</v>
      </c>
      <c r="BU116" s="75">
        <f t="shared" si="198"/>
        <v>0</v>
      </c>
      <c r="BV116" s="75">
        <f t="shared" si="181"/>
        <v>0</v>
      </c>
      <c r="BW116" s="75">
        <f t="shared" si="188"/>
        <v>0</v>
      </c>
      <c r="BX116" s="75"/>
      <c r="BY116" s="75"/>
      <c r="BZ116" s="75">
        <f t="shared" si="189"/>
        <v>0</v>
      </c>
      <c r="CA116" s="25">
        <f t="shared" si="169"/>
        <v>0.15225</v>
      </c>
      <c r="CB116" s="75">
        <f t="shared" si="170"/>
        <v>3045000</v>
      </c>
      <c r="CC116" s="75"/>
      <c r="CD116" s="75"/>
      <c r="CE116" s="75"/>
      <c r="CF116" s="75"/>
      <c r="CG116" s="75"/>
      <c r="CH116" s="75"/>
      <c r="CI116" s="75"/>
      <c r="CJ116" s="75"/>
      <c r="CK116" s="75"/>
      <c r="CL116" s="75"/>
      <c r="CM116" s="75"/>
      <c r="CN116" s="75"/>
      <c r="CO116" s="75"/>
      <c r="CP116" s="75"/>
      <c r="CQ116" s="75"/>
      <c r="CR116" s="75"/>
      <c r="CS116" s="75"/>
      <c r="CT116" s="75"/>
      <c r="CU116" s="75"/>
      <c r="CV116" s="75">
        <f>+'[6]JUNIO 2015'!$H$782</f>
        <v>3045000</v>
      </c>
      <c r="CW116" s="25">
        <f t="shared" si="171"/>
        <v>0.84775</v>
      </c>
      <c r="CX116" s="75">
        <f t="shared" si="172"/>
        <v>16955000</v>
      </c>
      <c r="CY116" s="75">
        <f t="shared" si="190"/>
        <v>0</v>
      </c>
      <c r="CZ116" s="75"/>
      <c r="DA116" s="75"/>
      <c r="DB116" s="75">
        <f t="shared" si="191"/>
        <v>0</v>
      </c>
      <c r="DC116" s="75"/>
      <c r="DD116" s="75">
        <f t="shared" si="192"/>
        <v>0</v>
      </c>
      <c r="DE116" s="75">
        <f t="shared" si="192"/>
        <v>0</v>
      </c>
      <c r="DF116" s="75"/>
      <c r="DG116" s="75">
        <f t="shared" si="193"/>
        <v>0</v>
      </c>
      <c r="DH116" s="75">
        <f t="shared" si="193"/>
        <v>0</v>
      </c>
      <c r="DI116" s="75"/>
      <c r="DJ116" s="75">
        <f t="shared" si="194"/>
        <v>0</v>
      </c>
      <c r="DK116" s="75">
        <f t="shared" si="194"/>
        <v>0</v>
      </c>
      <c r="DL116" s="75">
        <f t="shared" si="194"/>
        <v>15000000</v>
      </c>
      <c r="DM116" s="75">
        <f t="shared" si="195"/>
        <v>0</v>
      </c>
      <c r="DN116" s="75">
        <f t="shared" si="182"/>
        <v>0</v>
      </c>
      <c r="DO116" s="75">
        <f t="shared" si="196"/>
        <v>0</v>
      </c>
      <c r="DP116" s="75">
        <f t="shared" si="196"/>
        <v>0</v>
      </c>
      <c r="DQ116" s="75"/>
      <c r="DR116" s="75">
        <f t="shared" si="197"/>
        <v>1955000</v>
      </c>
    </row>
    <row r="117" spans="1:124" ht="33" customHeight="1" x14ac:dyDescent="0.25">
      <c r="A117" s="258"/>
      <c r="B117" s="81" t="s">
        <v>176</v>
      </c>
      <c r="C117" s="82" t="s">
        <v>175</v>
      </c>
      <c r="D117" s="81" t="s">
        <v>174</v>
      </c>
      <c r="E117" s="97">
        <v>301</v>
      </c>
      <c r="F117" s="78" t="s">
        <v>166</v>
      </c>
      <c r="G117" s="227">
        <v>900000000</v>
      </c>
      <c r="H117" s="79">
        <f t="shared" si="156"/>
        <v>1092351728</v>
      </c>
      <c r="I117" s="79">
        <f t="shared" si="157"/>
        <v>10335158</v>
      </c>
      <c r="J117" s="78"/>
      <c r="K117" s="78"/>
      <c r="L117" s="78"/>
      <c r="M117" s="75">
        <f t="shared" si="158"/>
        <v>1102686886</v>
      </c>
      <c r="N117" s="75">
        <v>24079469</v>
      </c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>
        <v>52000000</v>
      </c>
      <c r="AB117" s="75">
        <v>109019196</v>
      </c>
      <c r="AC117" s="75">
        <v>47588221</v>
      </c>
      <c r="AD117" s="75">
        <v>870000000</v>
      </c>
      <c r="AE117" s="75"/>
      <c r="AF117" s="75"/>
      <c r="AG117" s="75"/>
      <c r="AI117" s="25">
        <f t="shared" si="159"/>
        <v>0.99914340325255302</v>
      </c>
      <c r="AJ117" s="75">
        <f t="shared" si="160"/>
        <v>1101742328</v>
      </c>
      <c r="AK117" s="75">
        <f>+'[2]JULIO 2015'!$J$928</f>
        <v>23688299</v>
      </c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>
        <f>+'[6]JUNIO 2015'!$W$788</f>
        <v>52000000</v>
      </c>
      <c r="AY117" s="75">
        <f>+'[6]JUNIO 2015'!$X$788</f>
        <v>109019196</v>
      </c>
      <c r="AZ117" s="75">
        <f>+'[2]JULIO 2015'!$Y$928</f>
        <v>47034833</v>
      </c>
      <c r="BA117" s="75">
        <f>+'[6]JUNIO 2015'!$Z$788</f>
        <v>870000000</v>
      </c>
      <c r="BB117" s="75"/>
      <c r="BC117" s="75"/>
      <c r="BD117" s="75"/>
      <c r="BE117" s="25">
        <f t="shared" si="161"/>
        <v>8.5659674744698044E-4</v>
      </c>
      <c r="BF117" s="75">
        <f t="shared" si="162"/>
        <v>944558</v>
      </c>
      <c r="BG117" s="75">
        <f t="shared" si="183"/>
        <v>391170</v>
      </c>
      <c r="BH117" s="75">
        <f t="shared" si="184"/>
        <v>0</v>
      </c>
      <c r="BI117" s="75"/>
      <c r="BJ117" s="75">
        <f t="shared" si="185"/>
        <v>0</v>
      </c>
      <c r="BK117" s="75"/>
      <c r="BL117" s="75">
        <f t="shared" si="186"/>
        <v>0</v>
      </c>
      <c r="BM117" s="75">
        <f t="shared" si="186"/>
        <v>0</v>
      </c>
      <c r="BN117" s="75"/>
      <c r="BO117" s="75"/>
      <c r="BP117" s="75"/>
      <c r="BQ117" s="75"/>
      <c r="BR117" s="75">
        <f t="shared" si="198"/>
        <v>0</v>
      </c>
      <c r="BS117" s="75">
        <f t="shared" si="198"/>
        <v>0</v>
      </c>
      <c r="BT117" s="75">
        <f t="shared" si="198"/>
        <v>0</v>
      </c>
      <c r="BU117" s="75">
        <f t="shared" si="198"/>
        <v>0</v>
      </c>
      <c r="BV117" s="75">
        <f t="shared" si="181"/>
        <v>553388</v>
      </c>
      <c r="BW117" s="75">
        <f t="shared" si="188"/>
        <v>0</v>
      </c>
      <c r="BX117" s="75"/>
      <c r="BY117" s="75"/>
      <c r="BZ117" s="75">
        <f t="shared" si="189"/>
        <v>0</v>
      </c>
      <c r="CA117" s="25">
        <f t="shared" si="169"/>
        <v>0.99062729580698028</v>
      </c>
      <c r="CB117" s="75">
        <f t="shared" si="170"/>
        <v>1092351728</v>
      </c>
      <c r="CC117" s="75">
        <f>+'[1]AGOSTO 2015'!$H$1050+'[1]AGOSTO 2015'!$H$1064+'[1]AGOSTO 2015'!$H$1066</f>
        <v>23245422</v>
      </c>
      <c r="CD117" s="75"/>
      <c r="CE117" s="75"/>
      <c r="CF117" s="75"/>
      <c r="CG117" s="75"/>
      <c r="CH117" s="75"/>
      <c r="CI117" s="75"/>
      <c r="CJ117" s="75"/>
      <c r="CK117" s="75"/>
      <c r="CL117" s="75"/>
      <c r="CM117" s="75"/>
      <c r="CN117" s="75"/>
      <c r="CO117" s="75"/>
      <c r="CP117" s="75">
        <f>+'[1]AGOSTO 2015'!$H$1059+'[1]AGOSTO 2015'!$H$1062</f>
        <v>52000000</v>
      </c>
      <c r="CQ117" s="75">
        <f>+'[1]AGOSTO 2015'!$H$1052</f>
        <v>108815808</v>
      </c>
      <c r="CR117" s="75">
        <f>+'[1]AGOSTO 2015'!$H$1057+'[1]AGOSTO 2015'!$H$1061+'[1]AGOSTO 2015'!$H$1068</f>
        <v>38290498</v>
      </c>
      <c r="CS117" s="75">
        <f>+'[3]ABRIL 2015'!$H$632</f>
        <v>870000000</v>
      </c>
      <c r="CT117" s="75"/>
      <c r="CU117" s="75"/>
      <c r="CV117" s="75"/>
      <c r="CW117" s="25">
        <f t="shared" si="171"/>
        <v>9.3727041930197208E-3</v>
      </c>
      <c r="CX117" s="75">
        <f t="shared" si="172"/>
        <v>10335158</v>
      </c>
      <c r="CY117" s="75">
        <f t="shared" si="190"/>
        <v>834047</v>
      </c>
      <c r="CZ117" s="75"/>
      <c r="DA117" s="75"/>
      <c r="DB117" s="75">
        <f t="shared" si="191"/>
        <v>0</v>
      </c>
      <c r="DC117" s="75"/>
      <c r="DD117" s="75">
        <f t="shared" si="192"/>
        <v>0</v>
      </c>
      <c r="DE117" s="75">
        <f t="shared" si="192"/>
        <v>0</v>
      </c>
      <c r="DF117" s="75"/>
      <c r="DG117" s="75">
        <f t="shared" si="193"/>
        <v>0</v>
      </c>
      <c r="DH117" s="75">
        <f t="shared" si="193"/>
        <v>0</v>
      </c>
      <c r="DI117" s="75"/>
      <c r="DJ117" s="75">
        <f t="shared" si="194"/>
        <v>0</v>
      </c>
      <c r="DK117" s="75">
        <f t="shared" si="194"/>
        <v>0</v>
      </c>
      <c r="DL117" s="75">
        <f t="shared" si="194"/>
        <v>0</v>
      </c>
      <c r="DM117" s="75">
        <f t="shared" si="195"/>
        <v>203388</v>
      </c>
      <c r="DN117" s="75">
        <f t="shared" si="182"/>
        <v>9297723</v>
      </c>
      <c r="DO117" s="75">
        <f t="shared" si="196"/>
        <v>0</v>
      </c>
      <c r="DP117" s="75">
        <f t="shared" si="196"/>
        <v>0</v>
      </c>
      <c r="DQ117" s="75"/>
      <c r="DR117" s="75">
        <f t="shared" si="197"/>
        <v>0</v>
      </c>
    </row>
    <row r="118" spans="1:124" ht="36" customHeight="1" x14ac:dyDescent="0.25">
      <c r="A118" s="258"/>
      <c r="B118" s="81"/>
      <c r="C118" s="82" t="s">
        <v>173</v>
      </c>
      <c r="D118" s="81" t="s">
        <v>172</v>
      </c>
      <c r="E118" s="97">
        <v>301</v>
      </c>
      <c r="F118" s="78" t="s">
        <v>166</v>
      </c>
      <c r="G118" s="228"/>
      <c r="H118" s="79">
        <f t="shared" si="156"/>
        <v>10435017</v>
      </c>
      <c r="I118" s="79">
        <f t="shared" si="157"/>
        <v>4564983</v>
      </c>
      <c r="J118" s="78"/>
      <c r="K118" s="78"/>
      <c r="L118" s="78"/>
      <c r="M118" s="75">
        <f t="shared" si="158"/>
        <v>15000000</v>
      </c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>
        <v>15000000</v>
      </c>
      <c r="AE118" s="75"/>
      <c r="AF118" s="75"/>
      <c r="AG118" s="75"/>
      <c r="AI118" s="25">
        <f t="shared" si="159"/>
        <v>1</v>
      </c>
      <c r="AJ118" s="75">
        <f t="shared" si="160"/>
        <v>15000000</v>
      </c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>
        <f>+'[9]ENERO 2015'!$W$362</f>
        <v>15000000</v>
      </c>
      <c r="BB118" s="75"/>
      <c r="BC118" s="75"/>
      <c r="BD118" s="75"/>
      <c r="BE118" s="25">
        <f t="shared" si="161"/>
        <v>0</v>
      </c>
      <c r="BF118" s="75">
        <f t="shared" si="162"/>
        <v>0</v>
      </c>
      <c r="BG118" s="75">
        <f t="shared" si="183"/>
        <v>0</v>
      </c>
      <c r="BH118" s="75">
        <f t="shared" si="184"/>
        <v>0</v>
      </c>
      <c r="BI118" s="75"/>
      <c r="BJ118" s="75">
        <f t="shared" si="185"/>
        <v>0</v>
      </c>
      <c r="BK118" s="75"/>
      <c r="BL118" s="75">
        <f t="shared" si="186"/>
        <v>0</v>
      </c>
      <c r="BM118" s="75">
        <f t="shared" si="186"/>
        <v>0</v>
      </c>
      <c r="BN118" s="75"/>
      <c r="BO118" s="75"/>
      <c r="BP118" s="75"/>
      <c r="BQ118" s="75"/>
      <c r="BR118" s="75">
        <f t="shared" si="198"/>
        <v>0</v>
      </c>
      <c r="BS118" s="75">
        <f t="shared" si="198"/>
        <v>0</v>
      </c>
      <c r="BT118" s="75">
        <f t="shared" si="198"/>
        <v>0</v>
      </c>
      <c r="BU118" s="75">
        <f t="shared" si="198"/>
        <v>0</v>
      </c>
      <c r="BV118" s="75">
        <f t="shared" si="181"/>
        <v>0</v>
      </c>
      <c r="BW118" s="75">
        <f t="shared" si="188"/>
        <v>0</v>
      </c>
      <c r="BX118" s="75"/>
      <c r="BY118" s="75"/>
      <c r="BZ118" s="75">
        <f t="shared" si="189"/>
        <v>0</v>
      </c>
      <c r="CA118" s="25">
        <f t="shared" si="169"/>
        <v>0.69566779999999995</v>
      </c>
      <c r="CB118" s="75">
        <f t="shared" si="170"/>
        <v>10435017</v>
      </c>
      <c r="CC118" s="75"/>
      <c r="CD118" s="75"/>
      <c r="CE118" s="75"/>
      <c r="CF118" s="75"/>
      <c r="CG118" s="75"/>
      <c r="CH118" s="75"/>
      <c r="CI118" s="75"/>
      <c r="CJ118" s="75"/>
      <c r="CK118" s="75"/>
      <c r="CL118" s="75"/>
      <c r="CM118" s="75"/>
      <c r="CN118" s="75"/>
      <c r="CO118" s="75"/>
      <c r="CP118" s="75"/>
      <c r="CQ118" s="75"/>
      <c r="CR118" s="75"/>
      <c r="CS118" s="75">
        <f>+'[1]AGOSTO 2015'!$H$1074</f>
        <v>10435017</v>
      </c>
      <c r="CT118" s="75"/>
      <c r="CU118" s="75"/>
      <c r="CV118" s="75"/>
      <c r="CW118" s="25">
        <f t="shared" si="171"/>
        <v>0.30433220000000005</v>
      </c>
      <c r="CX118" s="75">
        <f t="shared" si="172"/>
        <v>4564983</v>
      </c>
      <c r="CY118" s="75">
        <f t="shared" si="190"/>
        <v>0</v>
      </c>
      <c r="CZ118" s="75"/>
      <c r="DA118" s="75"/>
      <c r="DB118" s="75">
        <f t="shared" si="191"/>
        <v>0</v>
      </c>
      <c r="DC118" s="75"/>
      <c r="DD118" s="75">
        <f t="shared" si="192"/>
        <v>0</v>
      </c>
      <c r="DE118" s="75">
        <f t="shared" si="192"/>
        <v>0</v>
      </c>
      <c r="DF118" s="75"/>
      <c r="DG118" s="75">
        <f t="shared" si="193"/>
        <v>0</v>
      </c>
      <c r="DH118" s="75">
        <f t="shared" si="193"/>
        <v>0</v>
      </c>
      <c r="DI118" s="75"/>
      <c r="DJ118" s="75">
        <f t="shared" si="194"/>
        <v>0</v>
      </c>
      <c r="DK118" s="75">
        <f t="shared" si="194"/>
        <v>0</v>
      </c>
      <c r="DL118" s="75">
        <f t="shared" si="194"/>
        <v>0</v>
      </c>
      <c r="DM118" s="75">
        <f t="shared" si="195"/>
        <v>0</v>
      </c>
      <c r="DN118" s="75">
        <f t="shared" si="182"/>
        <v>0</v>
      </c>
      <c r="DO118" s="75">
        <f t="shared" si="196"/>
        <v>4564983</v>
      </c>
      <c r="DP118" s="75">
        <f t="shared" si="196"/>
        <v>0</v>
      </c>
      <c r="DQ118" s="75"/>
      <c r="DR118" s="75">
        <f t="shared" si="197"/>
        <v>0</v>
      </c>
    </row>
    <row r="119" spans="1:124" ht="33" customHeight="1" x14ac:dyDescent="0.25">
      <c r="A119" s="258"/>
      <c r="B119" s="85"/>
      <c r="C119" s="82" t="s">
        <v>171</v>
      </c>
      <c r="D119" s="81" t="s">
        <v>170</v>
      </c>
      <c r="E119" s="96">
        <v>301</v>
      </c>
      <c r="F119" s="78" t="s">
        <v>166</v>
      </c>
      <c r="G119" s="229"/>
      <c r="H119" s="79">
        <f t="shared" si="156"/>
        <v>118560400</v>
      </c>
      <c r="I119" s="79">
        <f t="shared" si="157"/>
        <v>34239600</v>
      </c>
      <c r="J119" s="78"/>
      <c r="K119" s="78"/>
      <c r="L119" s="78"/>
      <c r="M119" s="75">
        <f t="shared" si="158"/>
        <v>152800000</v>
      </c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>
        <v>137800000</v>
      </c>
      <c r="AC119" s="75"/>
      <c r="AD119" s="75">
        <v>15000000</v>
      </c>
      <c r="AE119" s="75"/>
      <c r="AF119" s="75"/>
      <c r="AG119" s="75"/>
      <c r="AI119" s="25">
        <f t="shared" si="159"/>
        <v>1</v>
      </c>
      <c r="AJ119" s="75">
        <f t="shared" si="160"/>
        <v>152800000</v>
      </c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>
        <f>+'[5]FEBRERO 2015'!$W$469</f>
        <v>137800000</v>
      </c>
      <c r="AZ119" s="75"/>
      <c r="BA119" s="75">
        <f>+'[9]ENERO 2015'!$W$367</f>
        <v>15000000</v>
      </c>
      <c r="BB119" s="75"/>
      <c r="BC119" s="75"/>
      <c r="BD119" s="75"/>
      <c r="BE119" s="25">
        <f t="shared" si="161"/>
        <v>0</v>
      </c>
      <c r="BF119" s="75">
        <f t="shared" si="162"/>
        <v>0</v>
      </c>
      <c r="BG119" s="75">
        <f t="shared" si="183"/>
        <v>0</v>
      </c>
      <c r="BH119" s="75">
        <f t="shared" si="184"/>
        <v>0</v>
      </c>
      <c r="BI119" s="75"/>
      <c r="BJ119" s="75">
        <f t="shared" si="185"/>
        <v>0</v>
      </c>
      <c r="BK119" s="75"/>
      <c r="BL119" s="75">
        <f t="shared" si="186"/>
        <v>0</v>
      </c>
      <c r="BM119" s="75">
        <f t="shared" si="186"/>
        <v>0</v>
      </c>
      <c r="BN119" s="75"/>
      <c r="BO119" s="75"/>
      <c r="BP119" s="75"/>
      <c r="BQ119" s="75"/>
      <c r="BR119" s="75">
        <f t="shared" si="198"/>
        <v>0</v>
      </c>
      <c r="BS119" s="75">
        <f t="shared" si="198"/>
        <v>0</v>
      </c>
      <c r="BT119" s="75">
        <f t="shared" si="198"/>
        <v>0</v>
      </c>
      <c r="BU119" s="75">
        <f t="shared" si="198"/>
        <v>0</v>
      </c>
      <c r="BV119" s="75">
        <f t="shared" si="181"/>
        <v>0</v>
      </c>
      <c r="BW119" s="75">
        <f t="shared" si="188"/>
        <v>0</v>
      </c>
      <c r="BX119" s="75"/>
      <c r="BY119" s="75"/>
      <c r="BZ119" s="75">
        <f t="shared" si="189"/>
        <v>0</v>
      </c>
      <c r="CA119" s="25">
        <f t="shared" si="169"/>
        <v>0.77591884816753931</v>
      </c>
      <c r="CB119" s="75">
        <f t="shared" si="170"/>
        <v>118560400</v>
      </c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>
        <f>+'[1]AGOSTO 2015'!$H$1093</f>
        <v>115983000</v>
      </c>
      <c r="CR119" s="75"/>
      <c r="CS119" s="75">
        <f>+'[7]MAYO 2015'!$H$689</f>
        <v>2577400</v>
      </c>
      <c r="CT119" s="75"/>
      <c r="CU119" s="75"/>
      <c r="CV119" s="75"/>
      <c r="CW119" s="25">
        <f t="shared" si="171"/>
        <v>0.22408115183246069</v>
      </c>
      <c r="CX119" s="75">
        <f t="shared" si="172"/>
        <v>34239600</v>
      </c>
      <c r="CY119" s="75">
        <f t="shared" si="190"/>
        <v>0</v>
      </c>
      <c r="CZ119" s="75"/>
      <c r="DA119" s="75"/>
      <c r="DB119" s="75">
        <f t="shared" si="191"/>
        <v>0</v>
      </c>
      <c r="DC119" s="75"/>
      <c r="DD119" s="75">
        <f t="shared" si="192"/>
        <v>0</v>
      </c>
      <c r="DE119" s="75">
        <f t="shared" si="192"/>
        <v>0</v>
      </c>
      <c r="DF119" s="75"/>
      <c r="DG119" s="75">
        <f t="shared" si="193"/>
        <v>0</v>
      </c>
      <c r="DH119" s="75">
        <f t="shared" si="193"/>
        <v>0</v>
      </c>
      <c r="DI119" s="75"/>
      <c r="DJ119" s="75">
        <f t="shared" si="194"/>
        <v>0</v>
      </c>
      <c r="DK119" s="75">
        <f t="shared" si="194"/>
        <v>0</v>
      </c>
      <c r="DL119" s="75">
        <f t="shared" si="194"/>
        <v>0</v>
      </c>
      <c r="DM119" s="75">
        <f t="shared" si="195"/>
        <v>21817000</v>
      </c>
      <c r="DN119" s="75">
        <f t="shared" si="182"/>
        <v>0</v>
      </c>
      <c r="DO119" s="75">
        <f t="shared" si="196"/>
        <v>12422600</v>
      </c>
      <c r="DP119" s="75">
        <f t="shared" si="196"/>
        <v>0</v>
      </c>
      <c r="DQ119" s="75"/>
      <c r="DR119" s="75">
        <f t="shared" si="197"/>
        <v>0</v>
      </c>
    </row>
    <row r="120" spans="1:124" ht="27.75" customHeight="1" x14ac:dyDescent="0.25">
      <c r="A120" s="258"/>
      <c r="B120" s="85" t="s">
        <v>169</v>
      </c>
      <c r="C120" s="82" t="s">
        <v>168</v>
      </c>
      <c r="D120" s="81" t="s">
        <v>167</v>
      </c>
      <c r="E120" s="96">
        <v>301</v>
      </c>
      <c r="F120" s="78" t="s">
        <v>166</v>
      </c>
      <c r="G120" s="78">
        <v>50000000</v>
      </c>
      <c r="H120" s="79">
        <f t="shared" si="156"/>
        <v>42473434</v>
      </c>
      <c r="I120" s="79">
        <f t="shared" si="157"/>
        <v>7526566</v>
      </c>
      <c r="J120" s="78"/>
      <c r="K120" s="78"/>
      <c r="L120" s="78"/>
      <c r="M120" s="75">
        <f t="shared" si="158"/>
        <v>50000000</v>
      </c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>
        <v>50000000</v>
      </c>
      <c r="AB120" s="75"/>
      <c r="AC120" s="75"/>
      <c r="AD120" s="75"/>
      <c r="AE120" s="75"/>
      <c r="AF120" s="75"/>
      <c r="AG120" s="75"/>
      <c r="AI120" s="25">
        <f t="shared" si="159"/>
        <v>1</v>
      </c>
      <c r="AJ120" s="75">
        <f t="shared" si="160"/>
        <v>50000000</v>
      </c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>
        <f>+'[9]ENERO 2015'!$T$374</f>
        <v>50000000</v>
      </c>
      <c r="AY120" s="75"/>
      <c r="AZ120" s="75"/>
      <c r="BA120" s="75"/>
      <c r="BB120" s="75"/>
      <c r="BC120" s="75"/>
      <c r="BD120" s="75"/>
      <c r="BE120" s="25">
        <f t="shared" si="161"/>
        <v>0</v>
      </c>
      <c r="BF120" s="75">
        <f t="shared" si="162"/>
        <v>0</v>
      </c>
      <c r="BG120" s="75">
        <f t="shared" si="183"/>
        <v>0</v>
      </c>
      <c r="BH120" s="75">
        <f t="shared" si="184"/>
        <v>0</v>
      </c>
      <c r="BI120" s="75"/>
      <c r="BJ120" s="75">
        <f t="shared" si="185"/>
        <v>0</v>
      </c>
      <c r="BK120" s="75"/>
      <c r="BL120" s="75">
        <f t="shared" si="186"/>
        <v>0</v>
      </c>
      <c r="BM120" s="75">
        <f t="shared" si="186"/>
        <v>0</v>
      </c>
      <c r="BN120" s="75"/>
      <c r="BO120" s="75"/>
      <c r="BP120" s="75"/>
      <c r="BQ120" s="75"/>
      <c r="BR120" s="75">
        <f t="shared" si="198"/>
        <v>0</v>
      </c>
      <c r="BS120" s="75">
        <f t="shared" si="198"/>
        <v>0</v>
      </c>
      <c r="BT120" s="75">
        <f t="shared" si="198"/>
        <v>0</v>
      </c>
      <c r="BU120" s="75">
        <f t="shared" si="198"/>
        <v>0</v>
      </c>
      <c r="BV120" s="75">
        <f t="shared" si="181"/>
        <v>0</v>
      </c>
      <c r="BW120" s="75">
        <f t="shared" si="188"/>
        <v>0</v>
      </c>
      <c r="BX120" s="75"/>
      <c r="BY120" s="75"/>
      <c r="BZ120" s="75">
        <f t="shared" si="189"/>
        <v>0</v>
      </c>
      <c r="CA120" s="25">
        <f t="shared" si="169"/>
        <v>0.84946867999999998</v>
      </c>
      <c r="CB120" s="75">
        <f t="shared" si="170"/>
        <v>42473434</v>
      </c>
      <c r="CC120" s="75"/>
      <c r="CD120" s="75"/>
      <c r="CE120" s="75"/>
      <c r="CF120" s="75"/>
      <c r="CG120" s="75"/>
      <c r="CH120" s="75"/>
      <c r="CI120" s="75"/>
      <c r="CJ120" s="75"/>
      <c r="CK120" s="75"/>
      <c r="CL120" s="75"/>
      <c r="CM120" s="75"/>
      <c r="CN120" s="75"/>
      <c r="CO120" s="75"/>
      <c r="CP120" s="75">
        <f>+'[1]AGOSTO 2015'!$H$1135</f>
        <v>42473434</v>
      </c>
      <c r="CQ120" s="75"/>
      <c r="CR120" s="75"/>
      <c r="CS120" s="75"/>
      <c r="CT120" s="75"/>
      <c r="CU120" s="75"/>
      <c r="CV120" s="75"/>
      <c r="CW120" s="25">
        <f t="shared" si="171"/>
        <v>0.15053132000000002</v>
      </c>
      <c r="CX120" s="75">
        <f t="shared" si="172"/>
        <v>7526566</v>
      </c>
      <c r="CY120" s="75">
        <f t="shared" si="190"/>
        <v>0</v>
      </c>
      <c r="CZ120" s="75"/>
      <c r="DA120" s="75"/>
      <c r="DB120" s="75">
        <f t="shared" si="191"/>
        <v>0</v>
      </c>
      <c r="DC120" s="75"/>
      <c r="DD120" s="75">
        <f t="shared" si="192"/>
        <v>0</v>
      </c>
      <c r="DE120" s="75">
        <f t="shared" si="192"/>
        <v>0</v>
      </c>
      <c r="DF120" s="75"/>
      <c r="DG120" s="75">
        <f t="shared" si="193"/>
        <v>0</v>
      </c>
      <c r="DH120" s="75">
        <f t="shared" si="193"/>
        <v>0</v>
      </c>
      <c r="DI120" s="75"/>
      <c r="DJ120" s="75">
        <f t="shared" si="194"/>
        <v>0</v>
      </c>
      <c r="DK120" s="75">
        <f t="shared" si="194"/>
        <v>0</v>
      </c>
      <c r="DL120" s="75">
        <f t="shared" si="194"/>
        <v>7526566</v>
      </c>
      <c r="DM120" s="75">
        <f t="shared" si="195"/>
        <v>0</v>
      </c>
      <c r="DN120" s="75">
        <f t="shared" si="182"/>
        <v>0</v>
      </c>
      <c r="DO120" s="75">
        <f t="shared" si="196"/>
        <v>0</v>
      </c>
      <c r="DP120" s="75">
        <f t="shared" si="196"/>
        <v>0</v>
      </c>
      <c r="DQ120" s="75"/>
      <c r="DR120" s="75">
        <f t="shared" si="197"/>
        <v>0</v>
      </c>
    </row>
    <row r="121" spans="1:124" s="68" customFormat="1" ht="24" customHeight="1" thickBot="1" x14ac:dyDescent="0.3">
      <c r="A121" s="95"/>
      <c r="B121" s="243" t="s">
        <v>165</v>
      </c>
      <c r="C121" s="244"/>
      <c r="D121" s="244"/>
      <c r="E121" s="244"/>
      <c r="F121" s="245"/>
      <c r="G121" s="69">
        <f>SUM(G105:G120)</f>
        <v>1952000000</v>
      </c>
      <c r="H121" s="69">
        <f>SUM(H105:H120)</f>
        <v>1889977571</v>
      </c>
      <c r="I121" s="69">
        <f>SUM(I105:I120)</f>
        <v>623509315</v>
      </c>
      <c r="J121" s="94"/>
      <c r="K121" s="94"/>
      <c r="L121" s="94"/>
      <c r="M121" s="69">
        <f t="shared" ref="M121:AG121" si="199">SUM(M105:M120)</f>
        <v>2513486886</v>
      </c>
      <c r="N121" s="69">
        <f t="shared" si="199"/>
        <v>104079469</v>
      </c>
      <c r="O121" s="69">
        <f t="shared" si="199"/>
        <v>0</v>
      </c>
      <c r="P121" s="69">
        <f t="shared" si="199"/>
        <v>0</v>
      </c>
      <c r="Q121" s="69">
        <f t="shared" si="199"/>
        <v>0</v>
      </c>
      <c r="R121" s="69">
        <f t="shared" si="199"/>
        <v>0</v>
      </c>
      <c r="S121" s="69">
        <f t="shared" si="199"/>
        <v>0</v>
      </c>
      <c r="T121" s="69">
        <f t="shared" si="199"/>
        <v>0</v>
      </c>
      <c r="U121" s="69">
        <f t="shared" si="199"/>
        <v>0</v>
      </c>
      <c r="V121" s="69">
        <f t="shared" si="199"/>
        <v>0</v>
      </c>
      <c r="W121" s="69">
        <f t="shared" si="199"/>
        <v>0</v>
      </c>
      <c r="X121" s="69">
        <f t="shared" si="199"/>
        <v>0</v>
      </c>
      <c r="Y121" s="69">
        <f t="shared" si="199"/>
        <v>0</v>
      </c>
      <c r="Z121" s="69">
        <f t="shared" si="199"/>
        <v>0</v>
      </c>
      <c r="AA121" s="69">
        <f t="shared" si="199"/>
        <v>728406867</v>
      </c>
      <c r="AB121" s="69">
        <f t="shared" si="199"/>
        <v>346819196</v>
      </c>
      <c r="AC121" s="69">
        <f t="shared" si="199"/>
        <v>84573365</v>
      </c>
      <c r="AD121" s="69">
        <f t="shared" si="199"/>
        <v>1181607989</v>
      </c>
      <c r="AE121" s="69">
        <f t="shared" si="199"/>
        <v>0</v>
      </c>
      <c r="AF121" s="69">
        <f t="shared" si="199"/>
        <v>0</v>
      </c>
      <c r="AG121" s="69">
        <f t="shared" si="199"/>
        <v>68000000</v>
      </c>
      <c r="AI121" s="70">
        <f t="shared" si="159"/>
        <v>0.96501378125750048</v>
      </c>
      <c r="AJ121" s="69">
        <f>SUM(AJ105:AJ120)</f>
        <v>2425549484</v>
      </c>
      <c r="AK121" s="69">
        <f>SUM(AK105:AK120)</f>
        <v>103688299</v>
      </c>
      <c r="AL121" s="69">
        <f>SUM(AL105:AL120)</f>
        <v>0</v>
      </c>
      <c r="AM121" s="69"/>
      <c r="AN121" s="69">
        <f>SUM(AN105:AN120)</f>
        <v>0</v>
      </c>
      <c r="AO121" s="69"/>
      <c r="AP121" s="69">
        <f t="shared" ref="AP121:BD121" si="200">SUM(AP105:AP120)</f>
        <v>0</v>
      </c>
      <c r="AQ121" s="69">
        <f t="shared" si="200"/>
        <v>0</v>
      </c>
      <c r="AR121" s="69">
        <f t="shared" si="200"/>
        <v>0</v>
      </c>
      <c r="AS121" s="69">
        <f t="shared" si="200"/>
        <v>0</v>
      </c>
      <c r="AT121" s="69">
        <f t="shared" si="200"/>
        <v>0</v>
      </c>
      <c r="AU121" s="69">
        <f t="shared" si="200"/>
        <v>0</v>
      </c>
      <c r="AV121" s="69">
        <f t="shared" si="200"/>
        <v>0</v>
      </c>
      <c r="AW121" s="69">
        <f t="shared" si="200"/>
        <v>0</v>
      </c>
      <c r="AX121" s="69">
        <f t="shared" si="200"/>
        <v>709199167</v>
      </c>
      <c r="AY121" s="69">
        <f t="shared" si="200"/>
        <v>346819196</v>
      </c>
      <c r="AZ121" s="69">
        <f t="shared" si="200"/>
        <v>47034833</v>
      </c>
      <c r="BA121" s="69">
        <f t="shared" si="200"/>
        <v>1157607989</v>
      </c>
      <c r="BB121" s="69">
        <f t="shared" si="200"/>
        <v>0</v>
      </c>
      <c r="BC121" s="69">
        <f t="shared" si="200"/>
        <v>0</v>
      </c>
      <c r="BD121" s="69">
        <f t="shared" si="200"/>
        <v>61200000</v>
      </c>
      <c r="BE121" s="70">
        <f t="shared" si="161"/>
        <v>3.498621874249952E-2</v>
      </c>
      <c r="BF121" s="69">
        <f>SUM(BF105:BF120)</f>
        <v>87937402</v>
      </c>
      <c r="BG121" s="69">
        <f>SUM(BG105:BG120)</f>
        <v>391170</v>
      </c>
      <c r="BH121" s="69">
        <f>SUM(BH105:BH120)</f>
        <v>0</v>
      </c>
      <c r="BI121" s="69"/>
      <c r="BJ121" s="69">
        <f t="shared" ref="BJ121:BZ121" si="201">SUM(BJ105:BJ120)</f>
        <v>0</v>
      </c>
      <c r="BK121" s="69">
        <f t="shared" si="201"/>
        <v>0</v>
      </c>
      <c r="BL121" s="69">
        <f t="shared" si="201"/>
        <v>0</v>
      </c>
      <c r="BM121" s="69">
        <f t="shared" si="201"/>
        <v>0</v>
      </c>
      <c r="BN121" s="69">
        <f t="shared" si="201"/>
        <v>0</v>
      </c>
      <c r="BO121" s="69">
        <f t="shared" si="201"/>
        <v>0</v>
      </c>
      <c r="BP121" s="69">
        <f t="shared" si="201"/>
        <v>0</v>
      </c>
      <c r="BQ121" s="69">
        <f t="shared" si="201"/>
        <v>0</v>
      </c>
      <c r="BR121" s="69">
        <f t="shared" si="201"/>
        <v>0</v>
      </c>
      <c r="BS121" s="69">
        <f t="shared" si="201"/>
        <v>0</v>
      </c>
      <c r="BT121" s="69">
        <f t="shared" si="201"/>
        <v>19207700</v>
      </c>
      <c r="BU121" s="69">
        <f t="shared" si="201"/>
        <v>0</v>
      </c>
      <c r="BV121" s="69">
        <f t="shared" si="201"/>
        <v>37538532</v>
      </c>
      <c r="BW121" s="69">
        <f t="shared" si="201"/>
        <v>24000000</v>
      </c>
      <c r="BX121" s="69">
        <f t="shared" si="201"/>
        <v>0</v>
      </c>
      <c r="BY121" s="69">
        <f t="shared" si="201"/>
        <v>0</v>
      </c>
      <c r="BZ121" s="69">
        <f t="shared" si="201"/>
        <v>6800000</v>
      </c>
      <c r="CA121" s="70">
        <f t="shared" si="169"/>
        <v>0.75193452630570046</v>
      </c>
      <c r="CB121" s="69">
        <f>SUM(CB105:CB120)</f>
        <v>1889977571</v>
      </c>
      <c r="CC121" s="69">
        <f>SUM(CC105:CC120)</f>
        <v>44765799</v>
      </c>
      <c r="CD121" s="69">
        <f>SUM(CD105:CD120)</f>
        <v>0</v>
      </c>
      <c r="CE121" s="69"/>
      <c r="CF121" s="69">
        <f>SUM(CF105:CF120)</f>
        <v>0</v>
      </c>
      <c r="CG121" s="69"/>
      <c r="CH121" s="69">
        <f>SUM(CH105:CH120)</f>
        <v>0</v>
      </c>
      <c r="CI121" s="69">
        <f>SUM(CI105:CI120)</f>
        <v>0</v>
      </c>
      <c r="CJ121" s="69"/>
      <c r="CK121" s="69">
        <f t="shared" ref="CK121:CV121" si="202">SUM(CK105:CK120)</f>
        <v>0</v>
      </c>
      <c r="CL121" s="69">
        <f t="shared" si="202"/>
        <v>0</v>
      </c>
      <c r="CM121" s="69">
        <f t="shared" si="202"/>
        <v>0</v>
      </c>
      <c r="CN121" s="69">
        <f t="shared" si="202"/>
        <v>0</v>
      </c>
      <c r="CO121" s="69">
        <f t="shared" si="202"/>
        <v>0</v>
      </c>
      <c r="CP121" s="69">
        <f t="shared" si="202"/>
        <v>436355867</v>
      </c>
      <c r="CQ121" s="69">
        <f t="shared" si="202"/>
        <v>324798808</v>
      </c>
      <c r="CR121" s="69">
        <f t="shared" si="202"/>
        <v>38290498</v>
      </c>
      <c r="CS121" s="69">
        <f t="shared" si="202"/>
        <v>1016162182</v>
      </c>
      <c r="CT121" s="69">
        <f t="shared" si="202"/>
        <v>0</v>
      </c>
      <c r="CU121" s="69">
        <f t="shared" si="202"/>
        <v>0</v>
      </c>
      <c r="CV121" s="69">
        <f t="shared" si="202"/>
        <v>29604417</v>
      </c>
      <c r="CW121" s="70">
        <f t="shared" si="171"/>
        <v>0.24806547369429954</v>
      </c>
      <c r="CX121" s="69">
        <f>SUM(CX105:CX120)</f>
        <v>623509315</v>
      </c>
      <c r="CY121" s="69">
        <f>SUM(CY105:CY120)</f>
        <v>59313670</v>
      </c>
      <c r="CZ121" s="69">
        <f>SUM(CZ105:CZ120)</f>
        <v>0</v>
      </c>
      <c r="DA121" s="69"/>
      <c r="DB121" s="69">
        <f t="shared" ref="DB121:DR121" si="203">SUM(DB105:DB120)</f>
        <v>0</v>
      </c>
      <c r="DC121" s="69">
        <f t="shared" si="203"/>
        <v>0</v>
      </c>
      <c r="DD121" s="69">
        <f t="shared" si="203"/>
        <v>0</v>
      </c>
      <c r="DE121" s="69">
        <f t="shared" si="203"/>
        <v>0</v>
      </c>
      <c r="DF121" s="69">
        <f t="shared" si="203"/>
        <v>0</v>
      </c>
      <c r="DG121" s="69">
        <f t="shared" si="203"/>
        <v>0</v>
      </c>
      <c r="DH121" s="69">
        <f t="shared" si="203"/>
        <v>0</v>
      </c>
      <c r="DI121" s="69">
        <f t="shared" si="203"/>
        <v>0</v>
      </c>
      <c r="DJ121" s="69">
        <f t="shared" si="203"/>
        <v>0</v>
      </c>
      <c r="DK121" s="69">
        <f t="shared" si="203"/>
        <v>0</v>
      </c>
      <c r="DL121" s="69">
        <f t="shared" si="203"/>
        <v>292051000</v>
      </c>
      <c r="DM121" s="69">
        <f t="shared" si="203"/>
        <v>22020388</v>
      </c>
      <c r="DN121" s="69">
        <f t="shared" si="203"/>
        <v>46282867</v>
      </c>
      <c r="DO121" s="69">
        <f t="shared" si="203"/>
        <v>165445807</v>
      </c>
      <c r="DP121" s="69">
        <f t="shared" si="203"/>
        <v>0</v>
      </c>
      <c r="DQ121" s="69">
        <f t="shared" si="203"/>
        <v>0</v>
      </c>
      <c r="DR121" s="93">
        <f t="shared" si="203"/>
        <v>38395583</v>
      </c>
    </row>
    <row r="122" spans="1:124" ht="67.5" customHeight="1" thickTop="1" x14ac:dyDescent="0.25">
      <c r="A122" s="246" t="s">
        <v>164</v>
      </c>
      <c r="B122" s="92" t="s">
        <v>163</v>
      </c>
      <c r="C122" s="82" t="s">
        <v>162</v>
      </c>
      <c r="D122" s="81" t="s">
        <v>161</v>
      </c>
      <c r="E122" s="80">
        <v>510</v>
      </c>
      <c r="F122" s="78" t="s">
        <v>158</v>
      </c>
      <c r="G122" s="240">
        <v>10000000</v>
      </c>
      <c r="H122" s="79">
        <f t="shared" ref="H122:H153" si="204">+CB122</f>
        <v>3000000</v>
      </c>
      <c r="I122" s="79">
        <f t="shared" ref="I122:I153" si="205">M122-H122</f>
        <v>0</v>
      </c>
      <c r="J122" s="78"/>
      <c r="K122" s="78"/>
      <c r="L122" s="78"/>
      <c r="M122" s="75">
        <f t="shared" ref="M122:M153" si="206">SUM(N122:AG122)</f>
        <v>3000000</v>
      </c>
      <c r="N122" s="75"/>
      <c r="O122" s="75"/>
      <c r="P122" s="75"/>
      <c r="Q122" s="75"/>
      <c r="R122" s="75"/>
      <c r="S122" s="75">
        <v>3000000</v>
      </c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I122" s="25">
        <f t="shared" si="159"/>
        <v>1</v>
      </c>
      <c r="AJ122" s="75">
        <f t="shared" ref="AJ122:AJ153" si="207">SUM(AK122:BD122)</f>
        <v>3000000</v>
      </c>
      <c r="AK122" s="75"/>
      <c r="AL122" s="75"/>
      <c r="AM122" s="75"/>
      <c r="AN122" s="75"/>
      <c r="AO122" s="75"/>
      <c r="AP122" s="75">
        <f>+'[4]MARZO 2015'!$N$1116</f>
        <v>3000000</v>
      </c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25">
        <f t="shared" si="161"/>
        <v>0</v>
      </c>
      <c r="BF122" s="75">
        <f t="shared" ref="BF122:BF153" si="208">SUM(BG122:BZ122)</f>
        <v>0</v>
      </c>
      <c r="BG122" s="75">
        <f t="shared" ref="BG122:BG142" si="209">+N122-AK122</f>
        <v>0</v>
      </c>
      <c r="BH122" s="75">
        <f t="shared" ref="BH122:BH142" si="210">O122-AL122</f>
        <v>0</v>
      </c>
      <c r="BI122" s="75"/>
      <c r="BJ122" s="75">
        <f t="shared" ref="BJ122:BJ142" si="211">Q122-AN122</f>
        <v>0</v>
      </c>
      <c r="BK122" s="75">
        <f t="shared" ref="BK122:BK142" si="212">R122-AO122</f>
        <v>0</v>
      </c>
      <c r="BL122" s="75">
        <f t="shared" ref="BL122:BL142" si="213">+S122-AP122</f>
        <v>0</v>
      </c>
      <c r="BM122" s="75">
        <f t="shared" ref="BM122:BM142" si="214">+T122-AQ122</f>
        <v>0</v>
      </c>
      <c r="BN122" s="75"/>
      <c r="BO122" s="75">
        <f t="shared" ref="BO122:BO142" si="215">+V122-AS122</f>
        <v>0</v>
      </c>
      <c r="BP122" s="75">
        <f t="shared" ref="BP122:BP142" si="216">+W122-AT122</f>
        <v>0</v>
      </c>
      <c r="BQ122" s="75">
        <f t="shared" ref="BQ122:BQ142" si="217">+X122-AU122</f>
        <v>0</v>
      </c>
      <c r="BR122" s="75">
        <f t="shared" ref="BR122:BR142" si="218">+Y122-AV122</f>
        <v>0</v>
      </c>
      <c r="BS122" s="75">
        <f t="shared" ref="BS122:BS142" si="219">+Z122-AW122</f>
        <v>0</v>
      </c>
      <c r="BT122" s="75">
        <f t="shared" ref="BT122:BT142" si="220">+AA122-AX122</f>
        <v>0</v>
      </c>
      <c r="BU122" s="75">
        <f t="shared" ref="BU122:BU142" si="221">+AB122-AY122</f>
        <v>0</v>
      </c>
      <c r="BV122" s="75">
        <f t="shared" ref="BV122:BV142" si="222">+AC122-AZ122</f>
        <v>0</v>
      </c>
      <c r="BW122" s="75">
        <f t="shared" ref="BW122:BW142" si="223">+AD122-BA122</f>
        <v>0</v>
      </c>
      <c r="BX122" s="75"/>
      <c r="BY122" s="75"/>
      <c r="BZ122" s="75">
        <f t="shared" ref="BZ122:BZ142" si="224">+AG122-BD122</f>
        <v>0</v>
      </c>
      <c r="CA122" s="25">
        <f t="shared" si="169"/>
        <v>1</v>
      </c>
      <c r="CB122" s="75">
        <f t="shared" ref="CB122:CB153" si="225">SUM(CC122:CV122)</f>
        <v>3000000</v>
      </c>
      <c r="CC122" s="75"/>
      <c r="CD122" s="75"/>
      <c r="CE122" s="75"/>
      <c r="CF122" s="75"/>
      <c r="CG122" s="75"/>
      <c r="CH122" s="75">
        <f>+'[4]MARZO 2015'!$H$1117</f>
        <v>3000000</v>
      </c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25">
        <f t="shared" si="171"/>
        <v>0</v>
      </c>
      <c r="CX122" s="75">
        <f t="shared" ref="CX122:CX153" si="226">SUM(CY122:DR122)</f>
        <v>0</v>
      </c>
      <c r="CY122" s="75"/>
      <c r="CZ122" s="75"/>
      <c r="DA122" s="75"/>
      <c r="DB122" s="75">
        <f t="shared" ref="DB122:DB142" si="227">Q122-CF122</f>
        <v>0</v>
      </c>
      <c r="DC122" s="75">
        <f t="shared" ref="DC122:DC142" si="228">R122-CG122</f>
        <v>0</v>
      </c>
      <c r="DD122" s="75">
        <f t="shared" ref="DD122:DD142" si="229">S122-CH122</f>
        <v>0</v>
      </c>
      <c r="DE122" s="75">
        <f t="shared" ref="DE122:DE142" si="230">T122-CI122</f>
        <v>0</v>
      </c>
      <c r="DF122" s="75"/>
      <c r="DG122" s="75">
        <f t="shared" ref="DG122:DG142" si="231">+V122-CK122</f>
        <v>0</v>
      </c>
      <c r="DH122" s="75">
        <f t="shared" ref="DH122:DH142" si="232">+W122-CL122</f>
        <v>0</v>
      </c>
      <c r="DI122" s="75"/>
      <c r="DJ122" s="75">
        <f t="shared" ref="DJ122:DJ142" si="233">Y122-CN122</f>
        <v>0</v>
      </c>
      <c r="DK122" s="75">
        <f t="shared" ref="DK122:DK142" si="234">Z122-CO122</f>
        <v>0</v>
      </c>
      <c r="DL122" s="75">
        <f t="shared" ref="DL122:DL142" si="235">AA122-CP122</f>
        <v>0</v>
      </c>
      <c r="DM122" s="75">
        <f t="shared" ref="DM122:DM142" si="236">+AB122-CQ122</f>
        <v>0</v>
      </c>
      <c r="DN122" s="75">
        <f t="shared" ref="DN122:DN142" si="237">+AC122-CR122</f>
        <v>0</v>
      </c>
      <c r="DO122" s="75">
        <f t="shared" ref="DO122:DO142" si="238">+AD122-CS122</f>
        <v>0</v>
      </c>
      <c r="DP122" s="75">
        <f t="shared" ref="DP122:DP142" si="239">+AE122-CT122</f>
        <v>0</v>
      </c>
      <c r="DQ122" s="75"/>
      <c r="DR122" s="75">
        <f t="shared" ref="DR122:DR142" si="240">+AG122-CV122</f>
        <v>0</v>
      </c>
    </row>
    <row r="123" spans="1:124" ht="68.25" customHeight="1" x14ac:dyDescent="0.25">
      <c r="A123" s="246"/>
      <c r="B123" s="85"/>
      <c r="C123" s="82" t="s">
        <v>160</v>
      </c>
      <c r="D123" s="81" t="s">
        <v>159</v>
      </c>
      <c r="E123" s="80">
        <v>510</v>
      </c>
      <c r="F123" s="78" t="s">
        <v>158</v>
      </c>
      <c r="G123" s="229"/>
      <c r="H123" s="79">
        <f t="shared" si="204"/>
        <v>6828964</v>
      </c>
      <c r="I123" s="79">
        <f t="shared" si="205"/>
        <v>171036</v>
      </c>
      <c r="J123" s="78"/>
      <c r="K123" s="78"/>
      <c r="L123" s="78"/>
      <c r="M123" s="75">
        <f t="shared" si="206"/>
        <v>7000000</v>
      </c>
      <c r="N123" s="75"/>
      <c r="O123" s="75"/>
      <c r="P123" s="75"/>
      <c r="Q123" s="75"/>
      <c r="R123" s="75"/>
      <c r="S123" s="75">
        <v>7000000</v>
      </c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90"/>
      <c r="AI123" s="25">
        <f t="shared" si="159"/>
        <v>0.97557142857142853</v>
      </c>
      <c r="AJ123" s="75">
        <f t="shared" si="207"/>
        <v>6829000</v>
      </c>
      <c r="AK123" s="75"/>
      <c r="AL123" s="75"/>
      <c r="AM123" s="75"/>
      <c r="AN123" s="75"/>
      <c r="AO123" s="75"/>
      <c r="AP123" s="75">
        <f>+'[4]MARZO 2015'!$N$1122</f>
        <v>6829000</v>
      </c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25">
        <f t="shared" si="161"/>
        <v>2.4428571428571466E-2</v>
      </c>
      <c r="BF123" s="75">
        <f t="shared" si="208"/>
        <v>171000</v>
      </c>
      <c r="BG123" s="75">
        <f t="shared" si="209"/>
        <v>0</v>
      </c>
      <c r="BH123" s="75">
        <f t="shared" si="210"/>
        <v>0</v>
      </c>
      <c r="BI123" s="75"/>
      <c r="BJ123" s="75">
        <f t="shared" si="211"/>
        <v>0</v>
      </c>
      <c r="BK123" s="75">
        <f t="shared" si="212"/>
        <v>0</v>
      </c>
      <c r="BL123" s="75">
        <f t="shared" si="213"/>
        <v>171000</v>
      </c>
      <c r="BM123" s="75">
        <f t="shared" si="214"/>
        <v>0</v>
      </c>
      <c r="BN123" s="75"/>
      <c r="BO123" s="75">
        <f t="shared" si="215"/>
        <v>0</v>
      </c>
      <c r="BP123" s="75">
        <f t="shared" si="216"/>
        <v>0</v>
      </c>
      <c r="BQ123" s="75">
        <f t="shared" si="217"/>
        <v>0</v>
      </c>
      <c r="BR123" s="75">
        <f t="shared" si="218"/>
        <v>0</v>
      </c>
      <c r="BS123" s="75">
        <f t="shared" si="219"/>
        <v>0</v>
      </c>
      <c r="BT123" s="75">
        <f t="shared" si="220"/>
        <v>0</v>
      </c>
      <c r="BU123" s="75">
        <f t="shared" si="221"/>
        <v>0</v>
      </c>
      <c r="BV123" s="75">
        <f t="shared" si="222"/>
        <v>0</v>
      </c>
      <c r="BW123" s="75">
        <f t="shared" si="223"/>
        <v>0</v>
      </c>
      <c r="BX123" s="75"/>
      <c r="BY123" s="75"/>
      <c r="BZ123" s="75">
        <f t="shared" si="224"/>
        <v>0</v>
      </c>
      <c r="CA123" s="25">
        <f t="shared" si="169"/>
        <v>0.97556628571428572</v>
      </c>
      <c r="CB123" s="75">
        <f t="shared" si="225"/>
        <v>6828964</v>
      </c>
      <c r="CC123" s="75"/>
      <c r="CD123" s="75"/>
      <c r="CE123" s="75"/>
      <c r="CF123" s="75"/>
      <c r="CG123" s="75"/>
      <c r="CH123" s="75">
        <f>+'[4]MARZO 2015'!$H$1120</f>
        <v>6828964</v>
      </c>
      <c r="CI123" s="75"/>
      <c r="CJ123" s="75"/>
      <c r="CK123" s="75"/>
      <c r="CL123" s="75"/>
      <c r="CM123" s="75"/>
      <c r="CN123" s="75"/>
      <c r="CO123" s="75"/>
      <c r="CP123" s="75"/>
      <c r="CQ123" s="75"/>
      <c r="CR123" s="75"/>
      <c r="CS123" s="75"/>
      <c r="CT123" s="75"/>
      <c r="CU123" s="75"/>
      <c r="CV123" s="75"/>
      <c r="CW123" s="25">
        <f t="shared" si="171"/>
        <v>2.4433714285714281E-2</v>
      </c>
      <c r="CX123" s="75">
        <f t="shared" si="226"/>
        <v>171036</v>
      </c>
      <c r="CY123" s="75"/>
      <c r="CZ123" s="75"/>
      <c r="DA123" s="75"/>
      <c r="DB123" s="75">
        <f t="shared" si="227"/>
        <v>0</v>
      </c>
      <c r="DC123" s="75">
        <f t="shared" si="228"/>
        <v>0</v>
      </c>
      <c r="DD123" s="75">
        <f t="shared" si="229"/>
        <v>171036</v>
      </c>
      <c r="DE123" s="75">
        <f t="shared" si="230"/>
        <v>0</v>
      </c>
      <c r="DF123" s="75"/>
      <c r="DG123" s="75">
        <f t="shared" si="231"/>
        <v>0</v>
      </c>
      <c r="DH123" s="75">
        <f t="shared" si="232"/>
        <v>0</v>
      </c>
      <c r="DI123" s="75"/>
      <c r="DJ123" s="75">
        <f t="shared" si="233"/>
        <v>0</v>
      </c>
      <c r="DK123" s="75">
        <f t="shared" si="234"/>
        <v>0</v>
      </c>
      <c r="DL123" s="75">
        <f t="shared" si="235"/>
        <v>0</v>
      </c>
      <c r="DM123" s="75">
        <f t="shared" si="236"/>
        <v>0</v>
      </c>
      <c r="DN123" s="75">
        <f t="shared" si="237"/>
        <v>0</v>
      </c>
      <c r="DO123" s="75">
        <f t="shared" si="238"/>
        <v>0</v>
      </c>
      <c r="DP123" s="75">
        <f t="shared" si="239"/>
        <v>0</v>
      </c>
      <c r="DQ123" s="75"/>
      <c r="DR123" s="75">
        <f t="shared" si="240"/>
        <v>0</v>
      </c>
      <c r="DT123" s="1"/>
    </row>
    <row r="124" spans="1:124" ht="66" customHeight="1" x14ac:dyDescent="0.25">
      <c r="A124" s="246"/>
      <c r="B124" s="85" t="s">
        <v>157</v>
      </c>
      <c r="C124" s="86" t="s">
        <v>156</v>
      </c>
      <c r="D124" s="81" t="s">
        <v>155</v>
      </c>
      <c r="E124" s="80">
        <v>111</v>
      </c>
      <c r="F124" s="78" t="s">
        <v>12</v>
      </c>
      <c r="G124" s="227">
        <v>20073000000</v>
      </c>
      <c r="H124" s="79">
        <f t="shared" si="204"/>
        <v>0</v>
      </c>
      <c r="I124" s="79">
        <f t="shared" si="205"/>
        <v>650000000</v>
      </c>
      <c r="J124" s="78"/>
      <c r="K124" s="78"/>
      <c r="L124" s="78"/>
      <c r="M124" s="75">
        <f t="shared" si="206"/>
        <v>650000000</v>
      </c>
      <c r="N124" s="75"/>
      <c r="O124" s="75"/>
      <c r="P124" s="75"/>
      <c r="Q124" s="75">
        <f>1590000000+400000000-850705529-550000000</f>
        <v>589294471</v>
      </c>
      <c r="R124" s="75"/>
      <c r="S124" s="75">
        <f>5000000</f>
        <v>5000000</v>
      </c>
      <c r="T124" s="75"/>
      <c r="U124" s="75"/>
      <c r="V124" s="75"/>
      <c r="W124" s="75"/>
      <c r="X124" s="75"/>
      <c r="Y124" s="75"/>
      <c r="Z124" s="75"/>
      <c r="AA124" s="75"/>
      <c r="AB124" s="75"/>
      <c r="AC124" s="75">
        <v>55705529</v>
      </c>
      <c r="AD124" s="75"/>
      <c r="AE124" s="75"/>
      <c r="AF124" s="75"/>
      <c r="AG124" s="75"/>
      <c r="AH124" s="90"/>
      <c r="AI124" s="25">
        <f t="shared" si="159"/>
        <v>0</v>
      </c>
      <c r="AJ124" s="75">
        <f t="shared" si="207"/>
        <v>0</v>
      </c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25">
        <f t="shared" si="161"/>
        <v>1</v>
      </c>
      <c r="BF124" s="75">
        <f t="shared" si="208"/>
        <v>650000000</v>
      </c>
      <c r="BG124" s="75">
        <f t="shared" si="209"/>
        <v>0</v>
      </c>
      <c r="BH124" s="75">
        <f t="shared" si="210"/>
        <v>0</v>
      </c>
      <c r="BI124" s="75"/>
      <c r="BJ124" s="75">
        <f t="shared" si="211"/>
        <v>589294471</v>
      </c>
      <c r="BK124" s="75">
        <f t="shared" si="212"/>
        <v>0</v>
      </c>
      <c r="BL124" s="75">
        <f t="shared" si="213"/>
        <v>5000000</v>
      </c>
      <c r="BM124" s="75">
        <f t="shared" si="214"/>
        <v>0</v>
      </c>
      <c r="BN124" s="75"/>
      <c r="BO124" s="75">
        <f t="shared" si="215"/>
        <v>0</v>
      </c>
      <c r="BP124" s="75">
        <f t="shared" si="216"/>
        <v>0</v>
      </c>
      <c r="BQ124" s="75">
        <f t="shared" si="217"/>
        <v>0</v>
      </c>
      <c r="BR124" s="75">
        <f t="shared" si="218"/>
        <v>0</v>
      </c>
      <c r="BS124" s="75">
        <f t="shared" si="219"/>
        <v>0</v>
      </c>
      <c r="BT124" s="75">
        <f t="shared" si="220"/>
        <v>0</v>
      </c>
      <c r="BU124" s="75">
        <f t="shared" si="221"/>
        <v>0</v>
      </c>
      <c r="BV124" s="75">
        <f t="shared" si="222"/>
        <v>55705529</v>
      </c>
      <c r="BW124" s="75">
        <f t="shared" si="223"/>
        <v>0</v>
      </c>
      <c r="BX124" s="75"/>
      <c r="BY124" s="75"/>
      <c r="BZ124" s="75">
        <f t="shared" si="224"/>
        <v>0</v>
      </c>
      <c r="CA124" s="25">
        <f t="shared" si="169"/>
        <v>0</v>
      </c>
      <c r="CB124" s="75">
        <f t="shared" si="225"/>
        <v>0</v>
      </c>
      <c r="CC124" s="75"/>
      <c r="CD124" s="75"/>
      <c r="CE124" s="75"/>
      <c r="CF124" s="75"/>
      <c r="CG124" s="75"/>
      <c r="CH124" s="75"/>
      <c r="CI124" s="75"/>
      <c r="CJ124" s="75"/>
      <c r="CK124" s="75"/>
      <c r="CL124" s="75"/>
      <c r="CM124" s="75"/>
      <c r="CN124" s="75"/>
      <c r="CO124" s="75"/>
      <c r="CP124" s="75"/>
      <c r="CQ124" s="75"/>
      <c r="CR124" s="75"/>
      <c r="CS124" s="75"/>
      <c r="CT124" s="75"/>
      <c r="CU124" s="75"/>
      <c r="CV124" s="75"/>
      <c r="CW124" s="25">
        <f t="shared" si="171"/>
        <v>1</v>
      </c>
      <c r="CX124" s="75">
        <f t="shared" si="226"/>
        <v>650000000</v>
      </c>
      <c r="CY124" s="75"/>
      <c r="CZ124" s="75"/>
      <c r="DA124" s="75"/>
      <c r="DB124" s="75">
        <f t="shared" si="227"/>
        <v>589294471</v>
      </c>
      <c r="DC124" s="75">
        <f t="shared" si="228"/>
        <v>0</v>
      </c>
      <c r="DD124" s="75">
        <f t="shared" si="229"/>
        <v>5000000</v>
      </c>
      <c r="DE124" s="75">
        <f t="shared" si="230"/>
        <v>0</v>
      </c>
      <c r="DF124" s="75"/>
      <c r="DG124" s="75">
        <f t="shared" si="231"/>
        <v>0</v>
      </c>
      <c r="DH124" s="75">
        <f t="shared" si="232"/>
        <v>0</v>
      </c>
      <c r="DI124" s="75"/>
      <c r="DJ124" s="75">
        <f t="shared" si="233"/>
        <v>0</v>
      </c>
      <c r="DK124" s="75">
        <f t="shared" si="234"/>
        <v>0</v>
      </c>
      <c r="DL124" s="75">
        <f t="shared" si="235"/>
        <v>0</v>
      </c>
      <c r="DM124" s="75">
        <f t="shared" si="236"/>
        <v>0</v>
      </c>
      <c r="DN124" s="75">
        <f t="shared" si="237"/>
        <v>55705529</v>
      </c>
      <c r="DO124" s="75">
        <f t="shared" si="238"/>
        <v>0</v>
      </c>
      <c r="DP124" s="75">
        <f t="shared" si="239"/>
        <v>0</v>
      </c>
      <c r="DQ124" s="75"/>
      <c r="DR124" s="75">
        <f t="shared" si="240"/>
        <v>0</v>
      </c>
    </row>
    <row r="125" spans="1:124" ht="36" customHeight="1" x14ac:dyDescent="0.25">
      <c r="A125" s="246"/>
      <c r="B125" s="85"/>
      <c r="C125" s="86" t="s">
        <v>154</v>
      </c>
      <c r="D125" s="81" t="s">
        <v>153</v>
      </c>
      <c r="E125" s="80">
        <v>111</v>
      </c>
      <c r="F125" s="78" t="s">
        <v>12</v>
      </c>
      <c r="G125" s="228"/>
      <c r="H125" s="79">
        <f t="shared" si="204"/>
        <v>0</v>
      </c>
      <c r="I125" s="79">
        <f t="shared" si="205"/>
        <v>830000000</v>
      </c>
      <c r="J125" s="78"/>
      <c r="K125" s="78"/>
      <c r="L125" s="78"/>
      <c r="M125" s="75">
        <f t="shared" si="206"/>
        <v>830000000</v>
      </c>
      <c r="N125" s="75"/>
      <c r="O125" s="75"/>
      <c r="P125" s="75"/>
      <c r="Q125" s="75">
        <v>830000000</v>
      </c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90"/>
      <c r="AI125" s="25">
        <f t="shared" si="159"/>
        <v>0</v>
      </c>
      <c r="AJ125" s="75">
        <f t="shared" si="207"/>
        <v>0</v>
      </c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25">
        <f t="shared" si="161"/>
        <v>1</v>
      </c>
      <c r="BF125" s="75">
        <f t="shared" si="208"/>
        <v>830000000</v>
      </c>
      <c r="BG125" s="75">
        <f t="shared" si="209"/>
        <v>0</v>
      </c>
      <c r="BH125" s="75">
        <f t="shared" si="210"/>
        <v>0</v>
      </c>
      <c r="BI125" s="75"/>
      <c r="BJ125" s="75">
        <f t="shared" si="211"/>
        <v>830000000</v>
      </c>
      <c r="BK125" s="75">
        <f t="shared" si="212"/>
        <v>0</v>
      </c>
      <c r="BL125" s="75">
        <f t="shared" si="213"/>
        <v>0</v>
      </c>
      <c r="BM125" s="75">
        <f t="shared" si="214"/>
        <v>0</v>
      </c>
      <c r="BN125" s="75"/>
      <c r="BO125" s="75">
        <f t="shared" si="215"/>
        <v>0</v>
      </c>
      <c r="BP125" s="75">
        <f t="shared" si="216"/>
        <v>0</v>
      </c>
      <c r="BQ125" s="75">
        <f t="shared" si="217"/>
        <v>0</v>
      </c>
      <c r="BR125" s="75">
        <f t="shared" si="218"/>
        <v>0</v>
      </c>
      <c r="BS125" s="75">
        <f t="shared" si="219"/>
        <v>0</v>
      </c>
      <c r="BT125" s="75">
        <f t="shared" si="220"/>
        <v>0</v>
      </c>
      <c r="BU125" s="75">
        <f t="shared" si="221"/>
        <v>0</v>
      </c>
      <c r="BV125" s="75">
        <f t="shared" si="222"/>
        <v>0</v>
      </c>
      <c r="BW125" s="75">
        <f t="shared" si="223"/>
        <v>0</v>
      </c>
      <c r="BX125" s="75"/>
      <c r="BY125" s="75"/>
      <c r="BZ125" s="75">
        <f t="shared" si="224"/>
        <v>0</v>
      </c>
      <c r="CA125" s="25">
        <f t="shared" si="169"/>
        <v>0</v>
      </c>
      <c r="CB125" s="75">
        <f t="shared" si="225"/>
        <v>0</v>
      </c>
      <c r="CC125" s="75"/>
      <c r="CD125" s="75"/>
      <c r="CE125" s="75"/>
      <c r="CF125" s="75"/>
      <c r="CG125" s="75"/>
      <c r="CH125" s="75"/>
      <c r="CI125" s="75"/>
      <c r="CJ125" s="75"/>
      <c r="CK125" s="75"/>
      <c r="CL125" s="75"/>
      <c r="CM125" s="75"/>
      <c r="CN125" s="75"/>
      <c r="CO125" s="75"/>
      <c r="CP125" s="75"/>
      <c r="CQ125" s="75"/>
      <c r="CR125" s="75"/>
      <c r="CS125" s="75"/>
      <c r="CT125" s="75"/>
      <c r="CU125" s="75"/>
      <c r="CV125" s="75"/>
      <c r="CW125" s="25">
        <f t="shared" si="171"/>
        <v>1</v>
      </c>
      <c r="CX125" s="75">
        <f t="shared" si="226"/>
        <v>830000000</v>
      </c>
      <c r="CY125" s="75"/>
      <c r="CZ125" s="75"/>
      <c r="DA125" s="75"/>
      <c r="DB125" s="75">
        <f t="shared" si="227"/>
        <v>830000000</v>
      </c>
      <c r="DC125" s="75">
        <f t="shared" si="228"/>
        <v>0</v>
      </c>
      <c r="DD125" s="75">
        <f t="shared" si="229"/>
        <v>0</v>
      </c>
      <c r="DE125" s="75">
        <f t="shared" si="230"/>
        <v>0</v>
      </c>
      <c r="DF125" s="75"/>
      <c r="DG125" s="75">
        <f t="shared" si="231"/>
        <v>0</v>
      </c>
      <c r="DH125" s="75">
        <f t="shared" si="232"/>
        <v>0</v>
      </c>
      <c r="DI125" s="75"/>
      <c r="DJ125" s="75">
        <f t="shared" si="233"/>
        <v>0</v>
      </c>
      <c r="DK125" s="75">
        <f t="shared" si="234"/>
        <v>0</v>
      </c>
      <c r="DL125" s="75">
        <f t="shared" si="235"/>
        <v>0</v>
      </c>
      <c r="DM125" s="75">
        <f t="shared" si="236"/>
        <v>0</v>
      </c>
      <c r="DN125" s="75">
        <f t="shared" si="237"/>
        <v>0</v>
      </c>
      <c r="DO125" s="75">
        <f t="shared" si="238"/>
        <v>0</v>
      </c>
      <c r="DP125" s="75">
        <f t="shared" si="239"/>
        <v>0</v>
      </c>
      <c r="DQ125" s="75"/>
      <c r="DR125" s="75">
        <f t="shared" si="240"/>
        <v>0</v>
      </c>
    </row>
    <row r="126" spans="1:124" ht="33.75" customHeight="1" x14ac:dyDescent="0.25">
      <c r="A126" s="246"/>
      <c r="B126" s="85"/>
      <c r="C126" s="86" t="s">
        <v>152</v>
      </c>
      <c r="D126" s="81" t="s">
        <v>151</v>
      </c>
      <c r="E126" s="80">
        <v>111</v>
      </c>
      <c r="F126" s="78" t="s">
        <v>12</v>
      </c>
      <c r="G126" s="228"/>
      <c r="H126" s="79">
        <f t="shared" si="204"/>
        <v>0</v>
      </c>
      <c r="I126" s="79">
        <f t="shared" si="205"/>
        <v>350000000</v>
      </c>
      <c r="J126" s="78"/>
      <c r="K126" s="78"/>
      <c r="L126" s="78"/>
      <c r="M126" s="75">
        <f t="shared" si="206"/>
        <v>350000000</v>
      </c>
      <c r="N126" s="75"/>
      <c r="O126" s="75"/>
      <c r="P126" s="75"/>
      <c r="Q126" s="75">
        <f>212000000+103000000+12000000</f>
        <v>327000000</v>
      </c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>
        <v>23000000</v>
      </c>
      <c r="AD126" s="75"/>
      <c r="AE126" s="75"/>
      <c r="AF126" s="75"/>
      <c r="AG126" s="75"/>
      <c r="AH126" s="90"/>
      <c r="AI126" s="25">
        <f t="shared" si="159"/>
        <v>0.92400446000000003</v>
      </c>
      <c r="AJ126" s="75">
        <f t="shared" si="207"/>
        <v>323401561</v>
      </c>
      <c r="AK126" s="75"/>
      <c r="AL126" s="75"/>
      <c r="AM126" s="75"/>
      <c r="AN126" s="75">
        <f>+'[2]JULIO 2015'!$M$28</f>
        <v>323401561</v>
      </c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25">
        <f t="shared" si="161"/>
        <v>7.5995539999999973E-2</v>
      </c>
      <c r="BF126" s="75">
        <f t="shared" si="208"/>
        <v>26598439</v>
      </c>
      <c r="BG126" s="75">
        <f t="shared" si="209"/>
        <v>0</v>
      </c>
      <c r="BH126" s="75">
        <f t="shared" si="210"/>
        <v>0</v>
      </c>
      <c r="BI126" s="75"/>
      <c r="BJ126" s="75">
        <f t="shared" si="211"/>
        <v>3598439</v>
      </c>
      <c r="BK126" s="75">
        <f t="shared" si="212"/>
        <v>0</v>
      </c>
      <c r="BL126" s="75">
        <f t="shared" si="213"/>
        <v>0</v>
      </c>
      <c r="BM126" s="75">
        <f t="shared" si="214"/>
        <v>0</v>
      </c>
      <c r="BN126" s="75"/>
      <c r="BO126" s="75">
        <f t="shared" si="215"/>
        <v>0</v>
      </c>
      <c r="BP126" s="75">
        <f t="shared" si="216"/>
        <v>0</v>
      </c>
      <c r="BQ126" s="75">
        <f t="shared" si="217"/>
        <v>0</v>
      </c>
      <c r="BR126" s="75">
        <f t="shared" si="218"/>
        <v>0</v>
      </c>
      <c r="BS126" s="75">
        <f t="shared" si="219"/>
        <v>0</v>
      </c>
      <c r="BT126" s="75">
        <f t="shared" si="220"/>
        <v>0</v>
      </c>
      <c r="BU126" s="75">
        <f t="shared" si="221"/>
        <v>0</v>
      </c>
      <c r="BV126" s="75">
        <f t="shared" si="222"/>
        <v>23000000</v>
      </c>
      <c r="BW126" s="75">
        <f t="shared" si="223"/>
        <v>0</v>
      </c>
      <c r="BX126" s="75"/>
      <c r="BY126" s="75"/>
      <c r="BZ126" s="75">
        <f t="shared" si="224"/>
        <v>0</v>
      </c>
      <c r="CA126" s="25">
        <f t="shared" si="169"/>
        <v>0</v>
      </c>
      <c r="CB126" s="75">
        <f t="shared" si="225"/>
        <v>0</v>
      </c>
      <c r="CC126" s="75"/>
      <c r="CD126" s="75"/>
      <c r="CE126" s="75"/>
      <c r="CF126" s="75"/>
      <c r="CG126" s="75"/>
      <c r="CH126" s="75"/>
      <c r="CI126" s="75"/>
      <c r="CJ126" s="75"/>
      <c r="CK126" s="75"/>
      <c r="CL126" s="75"/>
      <c r="CM126" s="75"/>
      <c r="CN126" s="75"/>
      <c r="CO126" s="75"/>
      <c r="CP126" s="75"/>
      <c r="CQ126" s="75"/>
      <c r="CR126" s="75"/>
      <c r="CS126" s="75"/>
      <c r="CT126" s="75"/>
      <c r="CU126" s="75"/>
      <c r="CV126" s="75"/>
      <c r="CW126" s="25">
        <f t="shared" si="171"/>
        <v>1</v>
      </c>
      <c r="CX126" s="75">
        <f t="shared" si="226"/>
        <v>350000000</v>
      </c>
      <c r="CY126" s="75"/>
      <c r="CZ126" s="75"/>
      <c r="DA126" s="75"/>
      <c r="DB126" s="75">
        <f t="shared" si="227"/>
        <v>327000000</v>
      </c>
      <c r="DC126" s="75">
        <f t="shared" si="228"/>
        <v>0</v>
      </c>
      <c r="DD126" s="75">
        <f t="shared" si="229"/>
        <v>0</v>
      </c>
      <c r="DE126" s="75">
        <f t="shared" si="230"/>
        <v>0</v>
      </c>
      <c r="DF126" s="75"/>
      <c r="DG126" s="75">
        <f t="shared" si="231"/>
        <v>0</v>
      </c>
      <c r="DH126" s="75">
        <f t="shared" si="232"/>
        <v>0</v>
      </c>
      <c r="DI126" s="75"/>
      <c r="DJ126" s="75">
        <f t="shared" si="233"/>
        <v>0</v>
      </c>
      <c r="DK126" s="75">
        <f t="shared" si="234"/>
        <v>0</v>
      </c>
      <c r="DL126" s="75">
        <f t="shared" si="235"/>
        <v>0</v>
      </c>
      <c r="DM126" s="75">
        <f t="shared" si="236"/>
        <v>0</v>
      </c>
      <c r="DN126" s="75">
        <f t="shared" si="237"/>
        <v>23000000</v>
      </c>
      <c r="DO126" s="75">
        <f t="shared" si="238"/>
        <v>0</v>
      </c>
      <c r="DP126" s="75">
        <f t="shared" si="239"/>
        <v>0</v>
      </c>
      <c r="DQ126" s="75"/>
      <c r="DR126" s="75">
        <f t="shared" si="240"/>
        <v>0</v>
      </c>
      <c r="DS126" s="91"/>
    </row>
    <row r="127" spans="1:124" ht="33" customHeight="1" x14ac:dyDescent="0.25">
      <c r="A127" s="246"/>
      <c r="B127" s="85"/>
      <c r="C127" s="86" t="s">
        <v>150</v>
      </c>
      <c r="D127" s="81" t="s">
        <v>149</v>
      </c>
      <c r="E127" s="80">
        <v>111</v>
      </c>
      <c r="F127" s="78" t="s">
        <v>12</v>
      </c>
      <c r="G127" s="228"/>
      <c r="H127" s="79">
        <f t="shared" si="204"/>
        <v>598906128</v>
      </c>
      <c r="I127" s="79">
        <f t="shared" si="205"/>
        <v>7460796</v>
      </c>
      <c r="J127" s="78"/>
      <c r="K127" s="78"/>
      <c r="L127" s="78"/>
      <c r="M127" s="75">
        <f t="shared" si="206"/>
        <v>606366924</v>
      </c>
      <c r="N127" s="75"/>
      <c r="O127" s="75"/>
      <c r="P127" s="75"/>
      <c r="Q127" s="75">
        <f>636000000+213203847-262848257</f>
        <v>586355590</v>
      </c>
      <c r="R127" s="75">
        <f>20011334</f>
        <v>20011334</v>
      </c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90"/>
      <c r="AI127" s="25">
        <f t="shared" si="159"/>
        <v>0.99586381792816914</v>
      </c>
      <c r="AJ127" s="75">
        <f t="shared" si="207"/>
        <v>603858880</v>
      </c>
      <c r="AK127" s="75"/>
      <c r="AL127" s="75"/>
      <c r="AM127" s="75"/>
      <c r="AN127" s="75">
        <f>+'[6]JUNIO 2015'!$M$33</f>
        <v>586355590</v>
      </c>
      <c r="AO127" s="75">
        <f>+'[1]AGOSTO 2015'!$N$33</f>
        <v>17503290</v>
      </c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25">
        <f t="shared" si="161"/>
        <v>4.1361820718308628E-3</v>
      </c>
      <c r="BF127" s="75">
        <f t="shared" si="208"/>
        <v>2508044</v>
      </c>
      <c r="BG127" s="75">
        <f t="shared" si="209"/>
        <v>0</v>
      </c>
      <c r="BH127" s="75">
        <f t="shared" si="210"/>
        <v>0</v>
      </c>
      <c r="BI127" s="75"/>
      <c r="BJ127" s="75">
        <f t="shared" si="211"/>
        <v>0</v>
      </c>
      <c r="BK127" s="75">
        <f t="shared" si="212"/>
        <v>2508044</v>
      </c>
      <c r="BL127" s="75">
        <f t="shared" si="213"/>
        <v>0</v>
      </c>
      <c r="BM127" s="75">
        <f t="shared" si="214"/>
        <v>0</v>
      </c>
      <c r="BN127" s="75"/>
      <c r="BO127" s="75">
        <f t="shared" si="215"/>
        <v>0</v>
      </c>
      <c r="BP127" s="75">
        <f t="shared" si="216"/>
        <v>0</v>
      </c>
      <c r="BQ127" s="75">
        <f t="shared" si="217"/>
        <v>0</v>
      </c>
      <c r="BR127" s="75">
        <f t="shared" si="218"/>
        <v>0</v>
      </c>
      <c r="BS127" s="75">
        <f t="shared" si="219"/>
        <v>0</v>
      </c>
      <c r="BT127" s="75">
        <f t="shared" si="220"/>
        <v>0</v>
      </c>
      <c r="BU127" s="75">
        <f t="shared" si="221"/>
        <v>0</v>
      </c>
      <c r="BV127" s="75">
        <f t="shared" si="222"/>
        <v>0</v>
      </c>
      <c r="BW127" s="75">
        <f t="shared" si="223"/>
        <v>0</v>
      </c>
      <c r="BX127" s="75"/>
      <c r="BY127" s="75"/>
      <c r="BZ127" s="75">
        <f t="shared" si="224"/>
        <v>0</v>
      </c>
      <c r="CA127" s="25">
        <f t="shared" si="169"/>
        <v>0.98769590539209551</v>
      </c>
      <c r="CB127" s="75">
        <f t="shared" si="225"/>
        <v>598906128</v>
      </c>
      <c r="CC127" s="75"/>
      <c r="CD127" s="75"/>
      <c r="CE127" s="75"/>
      <c r="CF127" s="75">
        <f>+'[1]AGOSTO 2015'!$H$34+'[1]AGOSTO 2015'!$G$43</f>
        <v>586355588</v>
      </c>
      <c r="CG127" s="75">
        <f>+'[1]AGOSTO 2015'!$H$45+'[1]AGOSTO 2015'!$H$47+'[1]AGOSTO 2015'!$H$50</f>
        <v>12550540</v>
      </c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/>
      <c r="CV127" s="75"/>
      <c r="CW127" s="25">
        <f t="shared" si="171"/>
        <v>1.2304094607904492E-2</v>
      </c>
      <c r="CX127" s="75">
        <f t="shared" si="226"/>
        <v>7460796</v>
      </c>
      <c r="CY127" s="75"/>
      <c r="CZ127" s="75"/>
      <c r="DA127" s="75"/>
      <c r="DB127" s="75">
        <f t="shared" si="227"/>
        <v>2</v>
      </c>
      <c r="DC127" s="75">
        <f t="shared" si="228"/>
        <v>7460794</v>
      </c>
      <c r="DD127" s="75">
        <f t="shared" si="229"/>
        <v>0</v>
      </c>
      <c r="DE127" s="75">
        <f t="shared" si="230"/>
        <v>0</v>
      </c>
      <c r="DF127" s="75"/>
      <c r="DG127" s="75">
        <f t="shared" si="231"/>
        <v>0</v>
      </c>
      <c r="DH127" s="75">
        <f t="shared" si="232"/>
        <v>0</v>
      </c>
      <c r="DI127" s="75"/>
      <c r="DJ127" s="75">
        <f t="shared" si="233"/>
        <v>0</v>
      </c>
      <c r="DK127" s="75">
        <f t="shared" si="234"/>
        <v>0</v>
      </c>
      <c r="DL127" s="75">
        <f t="shared" si="235"/>
        <v>0</v>
      </c>
      <c r="DM127" s="75">
        <f t="shared" si="236"/>
        <v>0</v>
      </c>
      <c r="DN127" s="75">
        <f t="shared" si="237"/>
        <v>0</v>
      </c>
      <c r="DO127" s="75">
        <f t="shared" si="238"/>
        <v>0</v>
      </c>
      <c r="DP127" s="75">
        <f t="shared" si="239"/>
        <v>0</v>
      </c>
      <c r="DQ127" s="75"/>
      <c r="DR127" s="75">
        <f t="shared" si="240"/>
        <v>0</v>
      </c>
    </row>
    <row r="128" spans="1:124" ht="34.5" customHeight="1" x14ac:dyDescent="0.25">
      <c r="A128" s="246"/>
      <c r="B128" s="85"/>
      <c r="C128" s="86" t="s">
        <v>148</v>
      </c>
      <c r="D128" s="81" t="s">
        <v>147</v>
      </c>
      <c r="E128" s="80">
        <v>111</v>
      </c>
      <c r="F128" s="78" t="s">
        <v>12</v>
      </c>
      <c r="G128" s="228"/>
      <c r="H128" s="79">
        <f t="shared" si="204"/>
        <v>0</v>
      </c>
      <c r="I128" s="79">
        <f t="shared" si="205"/>
        <v>360000000</v>
      </c>
      <c r="J128" s="78"/>
      <c r="K128" s="78"/>
      <c r="L128" s="78"/>
      <c r="M128" s="75">
        <f t="shared" si="206"/>
        <v>360000000</v>
      </c>
      <c r="N128" s="75"/>
      <c r="O128" s="75"/>
      <c r="P128" s="75"/>
      <c r="Q128" s="75">
        <f>290000000+70000000</f>
        <v>360000000</v>
      </c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90"/>
      <c r="AI128" s="25">
        <f t="shared" si="159"/>
        <v>0</v>
      </c>
      <c r="AJ128" s="75">
        <f t="shared" si="207"/>
        <v>0</v>
      </c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25">
        <f t="shared" si="161"/>
        <v>1</v>
      </c>
      <c r="BF128" s="75">
        <f t="shared" si="208"/>
        <v>360000000</v>
      </c>
      <c r="BG128" s="75">
        <f t="shared" si="209"/>
        <v>0</v>
      </c>
      <c r="BH128" s="75">
        <f t="shared" si="210"/>
        <v>0</v>
      </c>
      <c r="BI128" s="75"/>
      <c r="BJ128" s="75">
        <f t="shared" si="211"/>
        <v>360000000</v>
      </c>
      <c r="BK128" s="75">
        <f t="shared" si="212"/>
        <v>0</v>
      </c>
      <c r="BL128" s="75">
        <f t="shared" si="213"/>
        <v>0</v>
      </c>
      <c r="BM128" s="75">
        <f t="shared" si="214"/>
        <v>0</v>
      </c>
      <c r="BN128" s="75"/>
      <c r="BO128" s="75">
        <f t="shared" si="215"/>
        <v>0</v>
      </c>
      <c r="BP128" s="75">
        <f t="shared" si="216"/>
        <v>0</v>
      </c>
      <c r="BQ128" s="75">
        <f t="shared" si="217"/>
        <v>0</v>
      </c>
      <c r="BR128" s="75">
        <f t="shared" si="218"/>
        <v>0</v>
      </c>
      <c r="BS128" s="75">
        <f t="shared" si="219"/>
        <v>0</v>
      </c>
      <c r="BT128" s="75">
        <f t="shared" si="220"/>
        <v>0</v>
      </c>
      <c r="BU128" s="75">
        <f t="shared" si="221"/>
        <v>0</v>
      </c>
      <c r="BV128" s="75">
        <f t="shared" si="222"/>
        <v>0</v>
      </c>
      <c r="BW128" s="75">
        <f t="shared" si="223"/>
        <v>0</v>
      </c>
      <c r="BX128" s="75"/>
      <c r="BY128" s="75"/>
      <c r="BZ128" s="75">
        <f t="shared" si="224"/>
        <v>0</v>
      </c>
      <c r="CA128" s="25">
        <f t="shared" si="169"/>
        <v>0</v>
      </c>
      <c r="CB128" s="75">
        <f t="shared" si="225"/>
        <v>0</v>
      </c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25">
        <f t="shared" si="171"/>
        <v>1</v>
      </c>
      <c r="CX128" s="75">
        <f t="shared" si="226"/>
        <v>360000000</v>
      </c>
      <c r="CY128" s="75"/>
      <c r="CZ128" s="75"/>
      <c r="DA128" s="75"/>
      <c r="DB128" s="75">
        <f t="shared" si="227"/>
        <v>360000000</v>
      </c>
      <c r="DC128" s="75">
        <f t="shared" si="228"/>
        <v>0</v>
      </c>
      <c r="DD128" s="75">
        <f t="shared" si="229"/>
        <v>0</v>
      </c>
      <c r="DE128" s="75">
        <f t="shared" si="230"/>
        <v>0</v>
      </c>
      <c r="DF128" s="75"/>
      <c r="DG128" s="75">
        <f t="shared" si="231"/>
        <v>0</v>
      </c>
      <c r="DH128" s="75">
        <f t="shared" si="232"/>
        <v>0</v>
      </c>
      <c r="DI128" s="75"/>
      <c r="DJ128" s="75">
        <f t="shared" si="233"/>
        <v>0</v>
      </c>
      <c r="DK128" s="75">
        <f t="shared" si="234"/>
        <v>0</v>
      </c>
      <c r="DL128" s="75">
        <f t="shared" si="235"/>
        <v>0</v>
      </c>
      <c r="DM128" s="75">
        <f t="shared" si="236"/>
        <v>0</v>
      </c>
      <c r="DN128" s="75">
        <f t="shared" si="237"/>
        <v>0</v>
      </c>
      <c r="DO128" s="75">
        <f t="shared" si="238"/>
        <v>0</v>
      </c>
      <c r="DP128" s="75">
        <f t="shared" si="239"/>
        <v>0</v>
      </c>
      <c r="DQ128" s="75"/>
      <c r="DR128" s="75">
        <f t="shared" si="240"/>
        <v>0</v>
      </c>
    </row>
    <row r="129" spans="1:123" ht="36" customHeight="1" x14ac:dyDescent="0.25">
      <c r="A129" s="246"/>
      <c r="B129" s="85"/>
      <c r="C129" s="86" t="s">
        <v>146</v>
      </c>
      <c r="D129" s="81" t="s">
        <v>145</v>
      </c>
      <c r="E129" s="80">
        <v>111</v>
      </c>
      <c r="F129" s="78" t="s">
        <v>12</v>
      </c>
      <c r="G129" s="228"/>
      <c r="H129" s="79">
        <f t="shared" si="204"/>
        <v>0</v>
      </c>
      <c r="I129" s="79">
        <f t="shared" si="205"/>
        <v>938075763</v>
      </c>
      <c r="J129" s="78"/>
      <c r="K129" s="78"/>
      <c r="L129" s="78"/>
      <c r="M129" s="75">
        <f t="shared" si="206"/>
        <v>938075763</v>
      </c>
      <c r="N129" s="75"/>
      <c r="O129" s="75"/>
      <c r="P129" s="75"/>
      <c r="Q129" s="75">
        <f>699600000+99000000+80000000</f>
        <v>878600000</v>
      </c>
      <c r="R129" s="75"/>
      <c r="S129" s="75"/>
      <c r="T129" s="75"/>
      <c r="U129" s="75"/>
      <c r="V129" s="75"/>
      <c r="W129" s="75">
        <v>1940856</v>
      </c>
      <c r="X129" s="75">
        <v>3438802</v>
      </c>
      <c r="Y129" s="75">
        <v>54096105</v>
      </c>
      <c r="Z129" s="75"/>
      <c r="AA129" s="75"/>
      <c r="AB129" s="75"/>
      <c r="AC129" s="75"/>
      <c r="AD129" s="75"/>
      <c r="AE129" s="75"/>
      <c r="AF129" s="75"/>
      <c r="AG129" s="75"/>
      <c r="AH129" s="90"/>
      <c r="AI129" s="25">
        <f t="shared" si="159"/>
        <v>0</v>
      </c>
      <c r="AJ129" s="75">
        <f t="shared" si="207"/>
        <v>0</v>
      </c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25">
        <f t="shared" si="161"/>
        <v>1</v>
      </c>
      <c r="BF129" s="75">
        <f t="shared" si="208"/>
        <v>938075763</v>
      </c>
      <c r="BG129" s="75">
        <f t="shared" si="209"/>
        <v>0</v>
      </c>
      <c r="BH129" s="75">
        <f t="shared" si="210"/>
        <v>0</v>
      </c>
      <c r="BI129" s="75"/>
      <c r="BJ129" s="75">
        <f t="shared" si="211"/>
        <v>878600000</v>
      </c>
      <c r="BK129" s="75">
        <f t="shared" si="212"/>
        <v>0</v>
      </c>
      <c r="BL129" s="75">
        <f t="shared" si="213"/>
        <v>0</v>
      </c>
      <c r="BM129" s="75">
        <f t="shared" si="214"/>
        <v>0</v>
      </c>
      <c r="BN129" s="75"/>
      <c r="BO129" s="75">
        <f t="shared" si="215"/>
        <v>0</v>
      </c>
      <c r="BP129" s="75">
        <f t="shared" si="216"/>
        <v>1940856</v>
      </c>
      <c r="BQ129" s="75">
        <f t="shared" si="217"/>
        <v>3438802</v>
      </c>
      <c r="BR129" s="75">
        <f t="shared" si="218"/>
        <v>54096105</v>
      </c>
      <c r="BS129" s="75">
        <f t="shared" si="219"/>
        <v>0</v>
      </c>
      <c r="BT129" s="75">
        <f t="shared" si="220"/>
        <v>0</v>
      </c>
      <c r="BU129" s="75">
        <f t="shared" si="221"/>
        <v>0</v>
      </c>
      <c r="BV129" s="75">
        <f t="shared" si="222"/>
        <v>0</v>
      </c>
      <c r="BW129" s="75">
        <f t="shared" si="223"/>
        <v>0</v>
      </c>
      <c r="BX129" s="75">
        <f>+AE129-BB129</f>
        <v>0</v>
      </c>
      <c r="BY129" s="75">
        <f>+AF129-BC129</f>
        <v>0</v>
      </c>
      <c r="BZ129" s="75">
        <f t="shared" si="224"/>
        <v>0</v>
      </c>
      <c r="CA129" s="25">
        <f t="shared" si="169"/>
        <v>0</v>
      </c>
      <c r="CB129" s="75">
        <f t="shared" si="225"/>
        <v>0</v>
      </c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25">
        <f t="shared" si="171"/>
        <v>1</v>
      </c>
      <c r="CX129" s="75">
        <f t="shared" si="226"/>
        <v>938075763</v>
      </c>
      <c r="CY129" s="75"/>
      <c r="CZ129" s="75"/>
      <c r="DA129" s="75"/>
      <c r="DB129" s="75">
        <f t="shared" si="227"/>
        <v>878600000</v>
      </c>
      <c r="DC129" s="75">
        <f t="shared" si="228"/>
        <v>0</v>
      </c>
      <c r="DD129" s="75">
        <f t="shared" si="229"/>
        <v>0</v>
      </c>
      <c r="DE129" s="75">
        <f t="shared" si="230"/>
        <v>0</v>
      </c>
      <c r="DF129" s="75"/>
      <c r="DG129" s="75">
        <f t="shared" si="231"/>
        <v>0</v>
      </c>
      <c r="DH129" s="75">
        <f t="shared" si="232"/>
        <v>1940856</v>
      </c>
      <c r="DI129" s="75">
        <f>+X129-CM129</f>
        <v>3438802</v>
      </c>
      <c r="DJ129" s="75">
        <f t="shared" si="233"/>
        <v>54096105</v>
      </c>
      <c r="DK129" s="75">
        <f t="shared" si="234"/>
        <v>0</v>
      </c>
      <c r="DL129" s="75">
        <f t="shared" si="235"/>
        <v>0</v>
      </c>
      <c r="DM129" s="75">
        <f t="shared" si="236"/>
        <v>0</v>
      </c>
      <c r="DN129" s="75">
        <f t="shared" si="237"/>
        <v>0</v>
      </c>
      <c r="DO129" s="75">
        <f t="shared" si="238"/>
        <v>0</v>
      </c>
      <c r="DP129" s="75">
        <f t="shared" si="239"/>
        <v>0</v>
      </c>
      <c r="DQ129" s="75"/>
      <c r="DR129" s="75">
        <f t="shared" si="240"/>
        <v>0</v>
      </c>
    </row>
    <row r="130" spans="1:123" ht="33.75" customHeight="1" x14ac:dyDescent="0.25">
      <c r="A130" s="246"/>
      <c r="B130" s="85"/>
      <c r="C130" s="86" t="s">
        <v>144</v>
      </c>
      <c r="D130" s="81" t="s">
        <v>143</v>
      </c>
      <c r="E130" s="80">
        <v>111</v>
      </c>
      <c r="F130" s="78" t="s">
        <v>12</v>
      </c>
      <c r="G130" s="228"/>
      <c r="H130" s="79">
        <f t="shared" si="204"/>
        <v>0</v>
      </c>
      <c r="I130" s="79">
        <f t="shared" si="205"/>
        <v>233200000</v>
      </c>
      <c r="J130" s="78"/>
      <c r="K130" s="78"/>
      <c r="L130" s="78"/>
      <c r="M130" s="75">
        <f t="shared" si="206"/>
        <v>233200000</v>
      </c>
      <c r="N130" s="75"/>
      <c r="O130" s="75"/>
      <c r="P130" s="75"/>
      <c r="Q130" s="75">
        <v>233200000</v>
      </c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90"/>
      <c r="AI130" s="25">
        <f t="shared" si="159"/>
        <v>0</v>
      </c>
      <c r="AJ130" s="75">
        <f t="shared" si="207"/>
        <v>0</v>
      </c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25">
        <f t="shared" si="161"/>
        <v>1</v>
      </c>
      <c r="BF130" s="75">
        <f t="shared" si="208"/>
        <v>233200000</v>
      </c>
      <c r="BG130" s="75">
        <f t="shared" si="209"/>
        <v>0</v>
      </c>
      <c r="BH130" s="75">
        <f t="shared" si="210"/>
        <v>0</v>
      </c>
      <c r="BI130" s="75"/>
      <c r="BJ130" s="75">
        <f t="shared" si="211"/>
        <v>233200000</v>
      </c>
      <c r="BK130" s="75">
        <f t="shared" si="212"/>
        <v>0</v>
      </c>
      <c r="BL130" s="75">
        <f t="shared" si="213"/>
        <v>0</v>
      </c>
      <c r="BM130" s="75">
        <f t="shared" si="214"/>
        <v>0</v>
      </c>
      <c r="BN130" s="75"/>
      <c r="BO130" s="75">
        <f t="shared" si="215"/>
        <v>0</v>
      </c>
      <c r="BP130" s="75">
        <f t="shared" si="216"/>
        <v>0</v>
      </c>
      <c r="BQ130" s="75">
        <f t="shared" si="217"/>
        <v>0</v>
      </c>
      <c r="BR130" s="75">
        <f t="shared" si="218"/>
        <v>0</v>
      </c>
      <c r="BS130" s="75">
        <f t="shared" si="219"/>
        <v>0</v>
      </c>
      <c r="BT130" s="75">
        <f t="shared" si="220"/>
        <v>0</v>
      </c>
      <c r="BU130" s="75">
        <f t="shared" si="221"/>
        <v>0</v>
      </c>
      <c r="BV130" s="75">
        <f t="shared" si="222"/>
        <v>0</v>
      </c>
      <c r="BW130" s="75">
        <f t="shared" si="223"/>
        <v>0</v>
      </c>
      <c r="BX130" s="75"/>
      <c r="BY130" s="75">
        <f t="shared" ref="BY130:BY142" si="241">+AF130-BC130</f>
        <v>0</v>
      </c>
      <c r="BZ130" s="75">
        <f t="shared" si="224"/>
        <v>0</v>
      </c>
      <c r="CA130" s="25">
        <f t="shared" si="169"/>
        <v>0</v>
      </c>
      <c r="CB130" s="75">
        <f t="shared" si="225"/>
        <v>0</v>
      </c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25">
        <f t="shared" si="171"/>
        <v>1</v>
      </c>
      <c r="CX130" s="75">
        <f t="shared" si="226"/>
        <v>233200000</v>
      </c>
      <c r="CY130" s="75"/>
      <c r="CZ130" s="75"/>
      <c r="DA130" s="75"/>
      <c r="DB130" s="75">
        <f t="shared" si="227"/>
        <v>233200000</v>
      </c>
      <c r="DC130" s="75">
        <f t="shared" si="228"/>
        <v>0</v>
      </c>
      <c r="DD130" s="75">
        <f t="shared" si="229"/>
        <v>0</v>
      </c>
      <c r="DE130" s="75">
        <f t="shared" si="230"/>
        <v>0</v>
      </c>
      <c r="DF130" s="75"/>
      <c r="DG130" s="75">
        <f t="shared" si="231"/>
        <v>0</v>
      </c>
      <c r="DH130" s="75">
        <f t="shared" si="232"/>
        <v>0</v>
      </c>
      <c r="DI130" s="75">
        <f>+X130-CM130</f>
        <v>0</v>
      </c>
      <c r="DJ130" s="75">
        <f t="shared" si="233"/>
        <v>0</v>
      </c>
      <c r="DK130" s="75">
        <f t="shared" si="234"/>
        <v>0</v>
      </c>
      <c r="DL130" s="75">
        <f t="shared" si="235"/>
        <v>0</v>
      </c>
      <c r="DM130" s="75">
        <f t="shared" si="236"/>
        <v>0</v>
      </c>
      <c r="DN130" s="75">
        <f t="shared" si="237"/>
        <v>0</v>
      </c>
      <c r="DO130" s="75">
        <f t="shared" si="238"/>
        <v>0</v>
      </c>
      <c r="DP130" s="75">
        <f t="shared" si="239"/>
        <v>0</v>
      </c>
      <c r="DQ130" s="75"/>
      <c r="DR130" s="75">
        <f t="shared" si="240"/>
        <v>0</v>
      </c>
    </row>
    <row r="131" spans="1:123" ht="32.25" customHeight="1" x14ac:dyDescent="0.25">
      <c r="A131" s="246"/>
      <c r="B131" s="85"/>
      <c r="C131" s="86" t="s">
        <v>142</v>
      </c>
      <c r="D131" s="81" t="s">
        <v>141</v>
      </c>
      <c r="E131" s="80">
        <v>111</v>
      </c>
      <c r="F131" s="78" t="s">
        <v>12</v>
      </c>
      <c r="G131" s="228"/>
      <c r="H131" s="79">
        <f t="shared" si="204"/>
        <v>0</v>
      </c>
      <c r="I131" s="79">
        <f t="shared" si="205"/>
        <v>300000000</v>
      </c>
      <c r="J131" s="78"/>
      <c r="K131" s="78"/>
      <c r="L131" s="78"/>
      <c r="M131" s="75">
        <f t="shared" si="206"/>
        <v>300000000</v>
      </c>
      <c r="N131" s="75"/>
      <c r="O131" s="75"/>
      <c r="P131" s="75"/>
      <c r="Q131" s="75">
        <f>114715796+100000000-12000000</f>
        <v>202715796</v>
      </c>
      <c r="R131" s="75"/>
      <c r="S131" s="75"/>
      <c r="T131" s="75"/>
      <c r="U131" s="75"/>
      <c r="V131" s="75"/>
      <c r="W131" s="75"/>
      <c r="X131" s="75"/>
      <c r="Y131" s="75">
        <v>97284204</v>
      </c>
      <c r="Z131" s="75"/>
      <c r="AA131" s="75"/>
      <c r="AB131" s="75"/>
      <c r="AC131" s="75"/>
      <c r="AD131" s="75"/>
      <c r="AE131" s="75"/>
      <c r="AF131" s="75"/>
      <c r="AG131" s="75"/>
      <c r="AH131" s="90"/>
      <c r="AI131" s="25">
        <f t="shared" si="159"/>
        <v>0</v>
      </c>
      <c r="AJ131" s="75">
        <f t="shared" si="207"/>
        <v>0</v>
      </c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25">
        <f t="shared" si="161"/>
        <v>1</v>
      </c>
      <c r="BF131" s="75">
        <f t="shared" si="208"/>
        <v>300000000</v>
      </c>
      <c r="BG131" s="75">
        <f t="shared" si="209"/>
        <v>0</v>
      </c>
      <c r="BH131" s="75">
        <f t="shared" si="210"/>
        <v>0</v>
      </c>
      <c r="BI131" s="75"/>
      <c r="BJ131" s="75">
        <f t="shared" si="211"/>
        <v>202715796</v>
      </c>
      <c r="BK131" s="75">
        <f t="shared" si="212"/>
        <v>0</v>
      </c>
      <c r="BL131" s="75">
        <f t="shared" si="213"/>
        <v>0</v>
      </c>
      <c r="BM131" s="75">
        <f t="shared" si="214"/>
        <v>0</v>
      </c>
      <c r="BN131" s="75"/>
      <c r="BO131" s="75">
        <f t="shared" si="215"/>
        <v>0</v>
      </c>
      <c r="BP131" s="75">
        <f t="shared" si="216"/>
        <v>0</v>
      </c>
      <c r="BQ131" s="75">
        <f t="shared" si="217"/>
        <v>0</v>
      </c>
      <c r="BR131" s="75">
        <f t="shared" si="218"/>
        <v>97284204</v>
      </c>
      <c r="BS131" s="75">
        <f t="shared" si="219"/>
        <v>0</v>
      </c>
      <c r="BT131" s="75">
        <f t="shared" si="220"/>
        <v>0</v>
      </c>
      <c r="BU131" s="75">
        <f t="shared" si="221"/>
        <v>0</v>
      </c>
      <c r="BV131" s="75">
        <f t="shared" si="222"/>
        <v>0</v>
      </c>
      <c r="BW131" s="75">
        <f t="shared" si="223"/>
        <v>0</v>
      </c>
      <c r="BX131" s="75"/>
      <c r="BY131" s="75">
        <f t="shared" si="241"/>
        <v>0</v>
      </c>
      <c r="BZ131" s="75">
        <f t="shared" si="224"/>
        <v>0</v>
      </c>
      <c r="CA131" s="25">
        <f t="shared" si="169"/>
        <v>0</v>
      </c>
      <c r="CB131" s="75">
        <f t="shared" si="225"/>
        <v>0</v>
      </c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25">
        <f t="shared" si="171"/>
        <v>1</v>
      </c>
      <c r="CX131" s="75">
        <f t="shared" si="226"/>
        <v>300000000</v>
      </c>
      <c r="CY131" s="75"/>
      <c r="CZ131" s="75"/>
      <c r="DA131" s="75"/>
      <c r="DB131" s="75">
        <f t="shared" si="227"/>
        <v>202715796</v>
      </c>
      <c r="DC131" s="75">
        <f t="shared" si="228"/>
        <v>0</v>
      </c>
      <c r="DD131" s="75">
        <f t="shared" si="229"/>
        <v>0</v>
      </c>
      <c r="DE131" s="75">
        <f t="shared" si="230"/>
        <v>0</v>
      </c>
      <c r="DF131" s="75"/>
      <c r="DG131" s="75">
        <f t="shared" si="231"/>
        <v>0</v>
      </c>
      <c r="DH131" s="75">
        <f t="shared" si="232"/>
        <v>0</v>
      </c>
      <c r="DI131" s="75"/>
      <c r="DJ131" s="75">
        <f t="shared" si="233"/>
        <v>97284204</v>
      </c>
      <c r="DK131" s="75">
        <f t="shared" si="234"/>
        <v>0</v>
      </c>
      <c r="DL131" s="75">
        <f t="shared" si="235"/>
        <v>0</v>
      </c>
      <c r="DM131" s="75">
        <f t="shared" si="236"/>
        <v>0</v>
      </c>
      <c r="DN131" s="75">
        <f t="shared" si="237"/>
        <v>0</v>
      </c>
      <c r="DO131" s="75">
        <f t="shared" si="238"/>
        <v>0</v>
      </c>
      <c r="DP131" s="75">
        <f t="shared" si="239"/>
        <v>0</v>
      </c>
      <c r="DQ131" s="75"/>
      <c r="DR131" s="75">
        <f t="shared" si="240"/>
        <v>0</v>
      </c>
      <c r="DS131" s="91"/>
    </row>
    <row r="132" spans="1:123" ht="32.25" customHeight="1" x14ac:dyDescent="0.25">
      <c r="A132" s="246"/>
      <c r="B132" s="85"/>
      <c r="C132" s="86" t="s">
        <v>140</v>
      </c>
      <c r="D132" s="81" t="s">
        <v>139</v>
      </c>
      <c r="E132" s="80">
        <v>111</v>
      </c>
      <c r="F132" s="78" t="s">
        <v>12</v>
      </c>
      <c r="G132" s="228"/>
      <c r="H132" s="79">
        <f t="shared" si="204"/>
        <v>0</v>
      </c>
      <c r="I132" s="79">
        <f t="shared" si="205"/>
        <v>35000000</v>
      </c>
      <c r="J132" s="78"/>
      <c r="K132" s="78"/>
      <c r="L132" s="78"/>
      <c r="M132" s="75">
        <f t="shared" si="206"/>
        <v>35000000</v>
      </c>
      <c r="N132" s="75"/>
      <c r="O132" s="75"/>
      <c r="P132" s="75"/>
      <c r="Q132" s="75">
        <f>71000000-71000000</f>
        <v>0</v>
      </c>
      <c r="R132" s="75"/>
      <c r="S132" s="75"/>
      <c r="T132" s="75"/>
      <c r="U132" s="75"/>
      <c r="V132" s="75"/>
      <c r="W132" s="75"/>
      <c r="X132" s="75"/>
      <c r="Y132" s="75">
        <v>35000000</v>
      </c>
      <c r="Z132" s="75"/>
      <c r="AA132" s="75"/>
      <c r="AB132" s="75"/>
      <c r="AC132" s="75"/>
      <c r="AD132" s="75"/>
      <c r="AE132" s="75"/>
      <c r="AF132" s="75"/>
      <c r="AG132" s="75"/>
      <c r="AH132" s="90"/>
      <c r="AI132" s="25">
        <f t="shared" si="159"/>
        <v>0</v>
      </c>
      <c r="AJ132" s="75">
        <f t="shared" si="207"/>
        <v>0</v>
      </c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25">
        <f t="shared" si="161"/>
        <v>1</v>
      </c>
      <c r="BF132" s="75">
        <f t="shared" si="208"/>
        <v>35000000</v>
      </c>
      <c r="BG132" s="75">
        <f t="shared" si="209"/>
        <v>0</v>
      </c>
      <c r="BH132" s="75">
        <f t="shared" si="210"/>
        <v>0</v>
      </c>
      <c r="BI132" s="75"/>
      <c r="BJ132" s="75">
        <f t="shared" si="211"/>
        <v>0</v>
      </c>
      <c r="BK132" s="75">
        <f t="shared" si="212"/>
        <v>0</v>
      </c>
      <c r="BL132" s="75">
        <f t="shared" si="213"/>
        <v>0</v>
      </c>
      <c r="BM132" s="75">
        <f t="shared" si="214"/>
        <v>0</v>
      </c>
      <c r="BN132" s="75"/>
      <c r="BO132" s="75">
        <f t="shared" si="215"/>
        <v>0</v>
      </c>
      <c r="BP132" s="75">
        <f t="shared" si="216"/>
        <v>0</v>
      </c>
      <c r="BQ132" s="75">
        <f t="shared" si="217"/>
        <v>0</v>
      </c>
      <c r="BR132" s="75">
        <f t="shared" si="218"/>
        <v>35000000</v>
      </c>
      <c r="BS132" s="75">
        <f t="shared" si="219"/>
        <v>0</v>
      </c>
      <c r="BT132" s="75">
        <f t="shared" si="220"/>
        <v>0</v>
      </c>
      <c r="BU132" s="75">
        <f t="shared" si="221"/>
        <v>0</v>
      </c>
      <c r="BV132" s="75">
        <f t="shared" si="222"/>
        <v>0</v>
      </c>
      <c r="BW132" s="75">
        <f t="shared" si="223"/>
        <v>0</v>
      </c>
      <c r="BX132" s="75"/>
      <c r="BY132" s="75">
        <f t="shared" si="241"/>
        <v>0</v>
      </c>
      <c r="BZ132" s="75">
        <f t="shared" si="224"/>
        <v>0</v>
      </c>
      <c r="CA132" s="25">
        <f t="shared" si="169"/>
        <v>0</v>
      </c>
      <c r="CB132" s="75">
        <f t="shared" si="225"/>
        <v>0</v>
      </c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25">
        <f t="shared" si="171"/>
        <v>1</v>
      </c>
      <c r="CX132" s="75">
        <f t="shared" si="226"/>
        <v>35000000</v>
      </c>
      <c r="CY132" s="75"/>
      <c r="CZ132" s="75"/>
      <c r="DA132" s="75"/>
      <c r="DB132" s="75">
        <f t="shared" si="227"/>
        <v>0</v>
      </c>
      <c r="DC132" s="75">
        <f t="shared" si="228"/>
        <v>0</v>
      </c>
      <c r="DD132" s="75">
        <f t="shared" si="229"/>
        <v>0</v>
      </c>
      <c r="DE132" s="75">
        <f t="shared" si="230"/>
        <v>0</v>
      </c>
      <c r="DF132" s="75"/>
      <c r="DG132" s="75">
        <f t="shared" si="231"/>
        <v>0</v>
      </c>
      <c r="DH132" s="75">
        <f t="shared" si="232"/>
        <v>0</v>
      </c>
      <c r="DI132" s="75"/>
      <c r="DJ132" s="75">
        <f t="shared" si="233"/>
        <v>35000000</v>
      </c>
      <c r="DK132" s="75">
        <f t="shared" si="234"/>
        <v>0</v>
      </c>
      <c r="DL132" s="75">
        <f t="shared" si="235"/>
        <v>0</v>
      </c>
      <c r="DM132" s="75">
        <f t="shared" si="236"/>
        <v>0</v>
      </c>
      <c r="DN132" s="75">
        <f t="shared" si="237"/>
        <v>0</v>
      </c>
      <c r="DO132" s="75">
        <f t="shared" si="238"/>
        <v>0</v>
      </c>
      <c r="DP132" s="75">
        <f t="shared" si="239"/>
        <v>0</v>
      </c>
      <c r="DQ132" s="75"/>
      <c r="DR132" s="75">
        <f t="shared" si="240"/>
        <v>0</v>
      </c>
    </row>
    <row r="133" spans="1:123" ht="28.5" customHeight="1" x14ac:dyDescent="0.25">
      <c r="A133" s="246"/>
      <c r="B133" s="85"/>
      <c r="C133" s="86" t="s">
        <v>138</v>
      </c>
      <c r="D133" s="81" t="s">
        <v>137</v>
      </c>
      <c r="E133" s="80">
        <v>111</v>
      </c>
      <c r="F133" s="78" t="s">
        <v>12</v>
      </c>
      <c r="G133" s="228"/>
      <c r="H133" s="79">
        <f t="shared" si="204"/>
        <v>0</v>
      </c>
      <c r="I133" s="79">
        <f t="shared" si="205"/>
        <v>0</v>
      </c>
      <c r="J133" s="78"/>
      <c r="K133" s="78"/>
      <c r="L133" s="78"/>
      <c r="M133" s="75">
        <f t="shared" si="206"/>
        <v>0</v>
      </c>
      <c r="N133" s="75"/>
      <c r="O133" s="75"/>
      <c r="P133" s="75"/>
      <c r="Q133" s="75">
        <f>1804000000-636519551-639181389-128000000-400299060</f>
        <v>0</v>
      </c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90"/>
      <c r="AI133" s="25" t="e">
        <f t="shared" si="159"/>
        <v>#DIV/0!</v>
      </c>
      <c r="AJ133" s="75">
        <f t="shared" si="207"/>
        <v>0</v>
      </c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25" t="e">
        <f t="shared" si="161"/>
        <v>#DIV/0!</v>
      </c>
      <c r="BF133" s="75">
        <f t="shared" si="208"/>
        <v>0</v>
      </c>
      <c r="BG133" s="75">
        <f t="shared" si="209"/>
        <v>0</v>
      </c>
      <c r="BH133" s="75">
        <f t="shared" si="210"/>
        <v>0</v>
      </c>
      <c r="BI133" s="75"/>
      <c r="BJ133" s="75">
        <f t="shared" si="211"/>
        <v>0</v>
      </c>
      <c r="BK133" s="75">
        <f t="shared" si="212"/>
        <v>0</v>
      </c>
      <c r="BL133" s="75">
        <f t="shared" si="213"/>
        <v>0</v>
      </c>
      <c r="BM133" s="75">
        <f t="shared" si="214"/>
        <v>0</v>
      </c>
      <c r="BN133" s="75"/>
      <c r="BO133" s="75">
        <f t="shared" si="215"/>
        <v>0</v>
      </c>
      <c r="BP133" s="75">
        <f t="shared" si="216"/>
        <v>0</v>
      </c>
      <c r="BQ133" s="75">
        <f t="shared" si="217"/>
        <v>0</v>
      </c>
      <c r="BR133" s="75">
        <f t="shared" si="218"/>
        <v>0</v>
      </c>
      <c r="BS133" s="75">
        <f t="shared" si="219"/>
        <v>0</v>
      </c>
      <c r="BT133" s="75">
        <f t="shared" si="220"/>
        <v>0</v>
      </c>
      <c r="BU133" s="75">
        <f t="shared" si="221"/>
        <v>0</v>
      </c>
      <c r="BV133" s="75">
        <f t="shared" si="222"/>
        <v>0</v>
      </c>
      <c r="BW133" s="75">
        <f t="shared" si="223"/>
        <v>0</v>
      </c>
      <c r="BX133" s="75"/>
      <c r="BY133" s="75">
        <f t="shared" si="241"/>
        <v>0</v>
      </c>
      <c r="BZ133" s="75">
        <f t="shared" si="224"/>
        <v>0</v>
      </c>
      <c r="CA133" s="25" t="e">
        <f t="shared" si="169"/>
        <v>#DIV/0!</v>
      </c>
      <c r="CB133" s="75">
        <f t="shared" si="225"/>
        <v>0</v>
      </c>
      <c r="CC133" s="75"/>
      <c r="CD133" s="75"/>
      <c r="CE133" s="75"/>
      <c r="CF133" s="75"/>
      <c r="CG133" s="75"/>
      <c r="CH133" s="75"/>
      <c r="CI133" s="75"/>
      <c r="CJ133" s="75"/>
      <c r="CK133" s="75"/>
      <c r="CL133" s="75"/>
      <c r="CM133" s="75"/>
      <c r="CN133" s="75"/>
      <c r="CO133" s="75"/>
      <c r="CP133" s="75"/>
      <c r="CQ133" s="75"/>
      <c r="CR133" s="75"/>
      <c r="CS133" s="75"/>
      <c r="CT133" s="75"/>
      <c r="CU133" s="75"/>
      <c r="CV133" s="75"/>
      <c r="CW133" s="25" t="e">
        <f t="shared" si="171"/>
        <v>#DIV/0!</v>
      </c>
      <c r="CX133" s="75">
        <f t="shared" si="226"/>
        <v>0</v>
      </c>
      <c r="CY133" s="75"/>
      <c r="CZ133" s="75"/>
      <c r="DA133" s="75"/>
      <c r="DB133" s="75">
        <f t="shared" si="227"/>
        <v>0</v>
      </c>
      <c r="DC133" s="75">
        <f t="shared" si="228"/>
        <v>0</v>
      </c>
      <c r="DD133" s="75">
        <f t="shared" si="229"/>
        <v>0</v>
      </c>
      <c r="DE133" s="75">
        <f t="shared" si="230"/>
        <v>0</v>
      </c>
      <c r="DF133" s="75"/>
      <c r="DG133" s="75">
        <f t="shared" si="231"/>
        <v>0</v>
      </c>
      <c r="DH133" s="75">
        <f t="shared" si="232"/>
        <v>0</v>
      </c>
      <c r="DI133" s="75"/>
      <c r="DJ133" s="75">
        <f t="shared" si="233"/>
        <v>0</v>
      </c>
      <c r="DK133" s="75">
        <f t="shared" si="234"/>
        <v>0</v>
      </c>
      <c r="DL133" s="75">
        <f t="shared" si="235"/>
        <v>0</v>
      </c>
      <c r="DM133" s="75">
        <f t="shared" si="236"/>
        <v>0</v>
      </c>
      <c r="DN133" s="75">
        <f t="shared" si="237"/>
        <v>0</v>
      </c>
      <c r="DO133" s="75">
        <f t="shared" si="238"/>
        <v>0</v>
      </c>
      <c r="DP133" s="75">
        <f t="shared" si="239"/>
        <v>0</v>
      </c>
      <c r="DQ133" s="75"/>
      <c r="DR133" s="75">
        <f t="shared" si="240"/>
        <v>0</v>
      </c>
    </row>
    <row r="134" spans="1:123" ht="21" customHeight="1" x14ac:dyDescent="0.25">
      <c r="A134" s="246"/>
      <c r="B134" s="85"/>
      <c r="C134" s="86" t="s">
        <v>136</v>
      </c>
      <c r="D134" s="81" t="s">
        <v>135</v>
      </c>
      <c r="E134" s="80">
        <v>111</v>
      </c>
      <c r="F134" s="78" t="s">
        <v>12</v>
      </c>
      <c r="G134" s="228"/>
      <c r="H134" s="79">
        <f t="shared" si="204"/>
        <v>375878510</v>
      </c>
      <c r="I134" s="79">
        <f t="shared" si="205"/>
        <v>180000000</v>
      </c>
      <c r="J134" s="78"/>
      <c r="K134" s="78"/>
      <c r="L134" s="78"/>
      <c r="M134" s="75">
        <f t="shared" si="206"/>
        <v>555878510</v>
      </c>
      <c r="N134" s="75"/>
      <c r="O134" s="75"/>
      <c r="P134" s="75"/>
      <c r="Q134" s="75">
        <f>424000000+400000000-448121490+180000000</f>
        <v>555878510</v>
      </c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90"/>
      <c r="AI134" s="25">
        <f t="shared" si="159"/>
        <v>0.67618823760609126</v>
      </c>
      <c r="AJ134" s="75">
        <f t="shared" si="207"/>
        <v>375878510</v>
      </c>
      <c r="AK134" s="75"/>
      <c r="AL134" s="75"/>
      <c r="AM134" s="75"/>
      <c r="AN134" s="75">
        <f>+'[10]MAYO 2015'!$L$79-11600</f>
        <v>375878510</v>
      </c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25">
        <f t="shared" si="161"/>
        <v>0.32381176239390874</v>
      </c>
      <c r="BF134" s="75">
        <f t="shared" si="208"/>
        <v>180000000</v>
      </c>
      <c r="BG134" s="75">
        <f t="shared" si="209"/>
        <v>0</v>
      </c>
      <c r="BH134" s="75">
        <f t="shared" si="210"/>
        <v>0</v>
      </c>
      <c r="BI134" s="75"/>
      <c r="BJ134" s="75">
        <f t="shared" si="211"/>
        <v>180000000</v>
      </c>
      <c r="BK134" s="75">
        <f t="shared" si="212"/>
        <v>0</v>
      </c>
      <c r="BL134" s="75">
        <f t="shared" si="213"/>
        <v>0</v>
      </c>
      <c r="BM134" s="75">
        <f t="shared" si="214"/>
        <v>0</v>
      </c>
      <c r="BN134" s="75"/>
      <c r="BO134" s="75">
        <f t="shared" si="215"/>
        <v>0</v>
      </c>
      <c r="BP134" s="75">
        <f t="shared" si="216"/>
        <v>0</v>
      </c>
      <c r="BQ134" s="75">
        <f t="shared" si="217"/>
        <v>0</v>
      </c>
      <c r="BR134" s="75">
        <f t="shared" si="218"/>
        <v>0</v>
      </c>
      <c r="BS134" s="75">
        <f t="shared" si="219"/>
        <v>0</v>
      </c>
      <c r="BT134" s="75">
        <f t="shared" si="220"/>
        <v>0</v>
      </c>
      <c r="BU134" s="75">
        <f t="shared" si="221"/>
        <v>0</v>
      </c>
      <c r="BV134" s="75">
        <f t="shared" si="222"/>
        <v>0</v>
      </c>
      <c r="BW134" s="75">
        <f t="shared" si="223"/>
        <v>0</v>
      </c>
      <c r="BX134" s="75"/>
      <c r="BY134" s="75">
        <f t="shared" si="241"/>
        <v>0</v>
      </c>
      <c r="BZ134" s="75">
        <f t="shared" si="224"/>
        <v>0</v>
      </c>
      <c r="CA134" s="25">
        <f t="shared" si="169"/>
        <v>0.67618823760609126</v>
      </c>
      <c r="CB134" s="75">
        <f t="shared" si="225"/>
        <v>375878510</v>
      </c>
      <c r="CC134" s="75"/>
      <c r="CD134" s="75"/>
      <c r="CE134" s="75"/>
      <c r="CF134" s="75">
        <v>375878510</v>
      </c>
      <c r="CG134" s="75"/>
      <c r="CH134" s="75"/>
      <c r="CI134" s="75"/>
      <c r="CJ134" s="75"/>
      <c r="CK134" s="75"/>
      <c r="CL134" s="75"/>
      <c r="CM134" s="75"/>
      <c r="CN134" s="75"/>
      <c r="CO134" s="75"/>
      <c r="CP134" s="75"/>
      <c r="CQ134" s="75"/>
      <c r="CR134" s="75"/>
      <c r="CS134" s="75"/>
      <c r="CT134" s="75"/>
      <c r="CU134" s="75"/>
      <c r="CV134" s="75"/>
      <c r="CW134" s="25">
        <f t="shared" si="171"/>
        <v>0.32381176239390874</v>
      </c>
      <c r="CX134" s="75">
        <f t="shared" si="226"/>
        <v>180000000</v>
      </c>
      <c r="CY134" s="75"/>
      <c r="CZ134" s="75"/>
      <c r="DA134" s="75"/>
      <c r="DB134" s="75">
        <f t="shared" si="227"/>
        <v>180000000</v>
      </c>
      <c r="DC134" s="75">
        <f t="shared" si="228"/>
        <v>0</v>
      </c>
      <c r="DD134" s="75">
        <f t="shared" si="229"/>
        <v>0</v>
      </c>
      <c r="DE134" s="75">
        <f t="shared" si="230"/>
        <v>0</v>
      </c>
      <c r="DF134" s="75"/>
      <c r="DG134" s="75">
        <f t="shared" si="231"/>
        <v>0</v>
      </c>
      <c r="DH134" s="75">
        <f t="shared" si="232"/>
        <v>0</v>
      </c>
      <c r="DI134" s="75"/>
      <c r="DJ134" s="75">
        <f t="shared" si="233"/>
        <v>0</v>
      </c>
      <c r="DK134" s="75">
        <f t="shared" si="234"/>
        <v>0</v>
      </c>
      <c r="DL134" s="75">
        <f t="shared" si="235"/>
        <v>0</v>
      </c>
      <c r="DM134" s="75">
        <f t="shared" si="236"/>
        <v>0</v>
      </c>
      <c r="DN134" s="75">
        <f t="shared" si="237"/>
        <v>0</v>
      </c>
      <c r="DO134" s="75">
        <f t="shared" si="238"/>
        <v>0</v>
      </c>
      <c r="DP134" s="75">
        <f t="shared" si="239"/>
        <v>0</v>
      </c>
      <c r="DQ134" s="75"/>
      <c r="DR134" s="75">
        <f t="shared" si="240"/>
        <v>0</v>
      </c>
    </row>
    <row r="135" spans="1:123" ht="31.5" customHeight="1" x14ac:dyDescent="0.25">
      <c r="A135" s="246"/>
      <c r="B135" s="85"/>
      <c r="C135" s="86" t="s">
        <v>134</v>
      </c>
      <c r="D135" s="81" t="s">
        <v>133</v>
      </c>
      <c r="E135" s="80">
        <v>111</v>
      </c>
      <c r="F135" s="78" t="s">
        <v>12</v>
      </c>
      <c r="G135" s="228"/>
      <c r="H135" s="79">
        <f t="shared" si="204"/>
        <v>0</v>
      </c>
      <c r="I135" s="79">
        <f t="shared" si="205"/>
        <v>0</v>
      </c>
      <c r="J135" s="78"/>
      <c r="K135" s="78"/>
      <c r="L135" s="78"/>
      <c r="M135" s="75">
        <f t="shared" si="206"/>
        <v>0</v>
      </c>
      <c r="N135" s="75"/>
      <c r="O135" s="75"/>
      <c r="P135" s="75"/>
      <c r="Q135" s="75">
        <f>212000000-212000000</f>
        <v>0</v>
      </c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90"/>
      <c r="AI135" s="25" t="e">
        <f t="shared" si="159"/>
        <v>#DIV/0!</v>
      </c>
      <c r="AJ135" s="75">
        <f t="shared" si="207"/>
        <v>0</v>
      </c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25" t="e">
        <f t="shared" si="161"/>
        <v>#DIV/0!</v>
      </c>
      <c r="BF135" s="75">
        <f t="shared" si="208"/>
        <v>0</v>
      </c>
      <c r="BG135" s="75">
        <f t="shared" si="209"/>
        <v>0</v>
      </c>
      <c r="BH135" s="75">
        <f t="shared" si="210"/>
        <v>0</v>
      </c>
      <c r="BI135" s="75"/>
      <c r="BJ135" s="75">
        <f t="shared" si="211"/>
        <v>0</v>
      </c>
      <c r="BK135" s="75">
        <f t="shared" si="212"/>
        <v>0</v>
      </c>
      <c r="BL135" s="75">
        <f t="shared" si="213"/>
        <v>0</v>
      </c>
      <c r="BM135" s="75">
        <f t="shared" si="214"/>
        <v>0</v>
      </c>
      <c r="BN135" s="75"/>
      <c r="BO135" s="75">
        <f t="shared" si="215"/>
        <v>0</v>
      </c>
      <c r="BP135" s="75">
        <f t="shared" si="216"/>
        <v>0</v>
      </c>
      <c r="BQ135" s="75">
        <f t="shared" si="217"/>
        <v>0</v>
      </c>
      <c r="BR135" s="75">
        <f t="shared" si="218"/>
        <v>0</v>
      </c>
      <c r="BS135" s="75">
        <f t="shared" si="219"/>
        <v>0</v>
      </c>
      <c r="BT135" s="75">
        <f t="shared" si="220"/>
        <v>0</v>
      </c>
      <c r="BU135" s="75">
        <f t="shared" si="221"/>
        <v>0</v>
      </c>
      <c r="BV135" s="75">
        <f t="shared" si="222"/>
        <v>0</v>
      </c>
      <c r="BW135" s="75">
        <f t="shared" si="223"/>
        <v>0</v>
      </c>
      <c r="BX135" s="75"/>
      <c r="BY135" s="75">
        <f t="shared" si="241"/>
        <v>0</v>
      </c>
      <c r="BZ135" s="75">
        <f t="shared" si="224"/>
        <v>0</v>
      </c>
      <c r="CA135" s="25" t="e">
        <f t="shared" si="169"/>
        <v>#DIV/0!</v>
      </c>
      <c r="CB135" s="75">
        <f t="shared" si="225"/>
        <v>0</v>
      </c>
      <c r="CC135" s="75"/>
      <c r="CD135" s="75"/>
      <c r="CE135" s="75"/>
      <c r="CF135" s="75"/>
      <c r="CG135" s="75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25" t="e">
        <f t="shared" si="171"/>
        <v>#DIV/0!</v>
      </c>
      <c r="CX135" s="75">
        <f t="shared" si="226"/>
        <v>0</v>
      </c>
      <c r="CY135" s="75"/>
      <c r="CZ135" s="75"/>
      <c r="DA135" s="75"/>
      <c r="DB135" s="75">
        <f t="shared" si="227"/>
        <v>0</v>
      </c>
      <c r="DC135" s="75">
        <f t="shared" si="228"/>
        <v>0</v>
      </c>
      <c r="DD135" s="75">
        <f t="shared" si="229"/>
        <v>0</v>
      </c>
      <c r="DE135" s="75">
        <f t="shared" si="230"/>
        <v>0</v>
      </c>
      <c r="DF135" s="75"/>
      <c r="DG135" s="75">
        <f t="shared" si="231"/>
        <v>0</v>
      </c>
      <c r="DH135" s="75">
        <f t="shared" si="232"/>
        <v>0</v>
      </c>
      <c r="DI135" s="75"/>
      <c r="DJ135" s="75">
        <f t="shared" si="233"/>
        <v>0</v>
      </c>
      <c r="DK135" s="75">
        <f t="shared" si="234"/>
        <v>0</v>
      </c>
      <c r="DL135" s="75">
        <f t="shared" si="235"/>
        <v>0</v>
      </c>
      <c r="DM135" s="75">
        <f t="shared" si="236"/>
        <v>0</v>
      </c>
      <c r="DN135" s="75">
        <f t="shared" si="237"/>
        <v>0</v>
      </c>
      <c r="DO135" s="75">
        <f t="shared" si="238"/>
        <v>0</v>
      </c>
      <c r="DP135" s="75">
        <f t="shared" si="239"/>
        <v>0</v>
      </c>
      <c r="DQ135" s="75"/>
      <c r="DR135" s="75">
        <f t="shared" si="240"/>
        <v>0</v>
      </c>
    </row>
    <row r="136" spans="1:123" ht="23.25" customHeight="1" x14ac:dyDescent="0.25">
      <c r="A136" s="246"/>
      <c r="B136" s="85"/>
      <c r="C136" s="86" t="s">
        <v>132</v>
      </c>
      <c r="D136" s="81" t="s">
        <v>131</v>
      </c>
      <c r="E136" s="80">
        <v>111</v>
      </c>
      <c r="F136" s="78" t="s">
        <v>12</v>
      </c>
      <c r="G136" s="228"/>
      <c r="H136" s="79">
        <f t="shared" si="204"/>
        <v>0</v>
      </c>
      <c r="I136" s="79">
        <f t="shared" si="205"/>
        <v>0</v>
      </c>
      <c r="J136" s="78"/>
      <c r="K136" s="78"/>
      <c r="L136" s="78"/>
      <c r="M136" s="75">
        <f t="shared" si="206"/>
        <v>0</v>
      </c>
      <c r="N136" s="75"/>
      <c r="O136" s="75"/>
      <c r="P136" s="75"/>
      <c r="Q136" s="75">
        <f>63600000-50000000-13600000</f>
        <v>0</v>
      </c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90"/>
      <c r="AI136" s="25" t="e">
        <f t="shared" si="159"/>
        <v>#DIV/0!</v>
      </c>
      <c r="AJ136" s="75">
        <f t="shared" si="207"/>
        <v>0</v>
      </c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25" t="e">
        <f t="shared" si="161"/>
        <v>#DIV/0!</v>
      </c>
      <c r="BF136" s="75">
        <f t="shared" si="208"/>
        <v>0</v>
      </c>
      <c r="BG136" s="75">
        <f t="shared" si="209"/>
        <v>0</v>
      </c>
      <c r="BH136" s="75">
        <f t="shared" si="210"/>
        <v>0</v>
      </c>
      <c r="BI136" s="75"/>
      <c r="BJ136" s="75">
        <f t="shared" si="211"/>
        <v>0</v>
      </c>
      <c r="BK136" s="75">
        <f t="shared" si="212"/>
        <v>0</v>
      </c>
      <c r="BL136" s="75">
        <f t="shared" si="213"/>
        <v>0</v>
      </c>
      <c r="BM136" s="75">
        <f t="shared" si="214"/>
        <v>0</v>
      </c>
      <c r="BN136" s="75"/>
      <c r="BO136" s="75">
        <f t="shared" si="215"/>
        <v>0</v>
      </c>
      <c r="BP136" s="75">
        <f t="shared" si="216"/>
        <v>0</v>
      </c>
      <c r="BQ136" s="75">
        <f t="shared" si="217"/>
        <v>0</v>
      </c>
      <c r="BR136" s="75">
        <f t="shared" si="218"/>
        <v>0</v>
      </c>
      <c r="BS136" s="75">
        <f t="shared" si="219"/>
        <v>0</v>
      </c>
      <c r="BT136" s="75">
        <f t="shared" si="220"/>
        <v>0</v>
      </c>
      <c r="BU136" s="75">
        <f t="shared" si="221"/>
        <v>0</v>
      </c>
      <c r="BV136" s="75">
        <f t="shared" si="222"/>
        <v>0</v>
      </c>
      <c r="BW136" s="75">
        <f t="shared" si="223"/>
        <v>0</v>
      </c>
      <c r="BX136" s="75"/>
      <c r="BY136" s="75">
        <f t="shared" si="241"/>
        <v>0</v>
      </c>
      <c r="BZ136" s="75">
        <f t="shared" si="224"/>
        <v>0</v>
      </c>
      <c r="CA136" s="25" t="e">
        <f t="shared" si="169"/>
        <v>#DIV/0!</v>
      </c>
      <c r="CB136" s="75">
        <f t="shared" si="225"/>
        <v>0</v>
      </c>
      <c r="CC136" s="75"/>
      <c r="CD136" s="75"/>
      <c r="CE136" s="75"/>
      <c r="CF136" s="75"/>
      <c r="CG136" s="75"/>
      <c r="CH136" s="75"/>
      <c r="CI136" s="75"/>
      <c r="CJ136" s="75"/>
      <c r="CK136" s="75"/>
      <c r="CL136" s="75"/>
      <c r="CM136" s="75"/>
      <c r="CN136" s="75"/>
      <c r="CO136" s="75"/>
      <c r="CP136" s="75"/>
      <c r="CQ136" s="75"/>
      <c r="CR136" s="75"/>
      <c r="CS136" s="75"/>
      <c r="CT136" s="75"/>
      <c r="CU136" s="75"/>
      <c r="CV136" s="75"/>
      <c r="CW136" s="25" t="e">
        <f t="shared" si="171"/>
        <v>#DIV/0!</v>
      </c>
      <c r="CX136" s="75">
        <f t="shared" si="226"/>
        <v>0</v>
      </c>
      <c r="CY136" s="75"/>
      <c r="CZ136" s="75"/>
      <c r="DA136" s="75"/>
      <c r="DB136" s="75">
        <f t="shared" si="227"/>
        <v>0</v>
      </c>
      <c r="DC136" s="75">
        <f t="shared" si="228"/>
        <v>0</v>
      </c>
      <c r="DD136" s="75">
        <f t="shared" si="229"/>
        <v>0</v>
      </c>
      <c r="DE136" s="75">
        <f t="shared" si="230"/>
        <v>0</v>
      </c>
      <c r="DF136" s="75"/>
      <c r="DG136" s="75">
        <f t="shared" si="231"/>
        <v>0</v>
      </c>
      <c r="DH136" s="75">
        <f t="shared" si="232"/>
        <v>0</v>
      </c>
      <c r="DI136" s="75"/>
      <c r="DJ136" s="75">
        <f t="shared" si="233"/>
        <v>0</v>
      </c>
      <c r="DK136" s="75">
        <f t="shared" si="234"/>
        <v>0</v>
      </c>
      <c r="DL136" s="75">
        <f t="shared" si="235"/>
        <v>0</v>
      </c>
      <c r="DM136" s="75">
        <f t="shared" si="236"/>
        <v>0</v>
      </c>
      <c r="DN136" s="75">
        <f t="shared" si="237"/>
        <v>0</v>
      </c>
      <c r="DO136" s="75">
        <f t="shared" si="238"/>
        <v>0</v>
      </c>
      <c r="DP136" s="75">
        <f t="shared" si="239"/>
        <v>0</v>
      </c>
      <c r="DQ136" s="75"/>
      <c r="DR136" s="75">
        <f t="shared" si="240"/>
        <v>0</v>
      </c>
    </row>
    <row r="137" spans="1:123" ht="34.5" customHeight="1" x14ac:dyDescent="0.25">
      <c r="A137" s="246"/>
      <c r="B137" s="85"/>
      <c r="C137" s="86" t="s">
        <v>130</v>
      </c>
      <c r="D137" s="81" t="s">
        <v>129</v>
      </c>
      <c r="E137" s="80">
        <v>111</v>
      </c>
      <c r="F137" s="78" t="s">
        <v>12</v>
      </c>
      <c r="G137" s="228"/>
      <c r="H137" s="79">
        <f t="shared" si="204"/>
        <v>0</v>
      </c>
      <c r="I137" s="79">
        <f t="shared" si="205"/>
        <v>121000000</v>
      </c>
      <c r="J137" s="78"/>
      <c r="K137" s="78"/>
      <c r="L137" s="78"/>
      <c r="M137" s="75">
        <f t="shared" si="206"/>
        <v>121000000</v>
      </c>
      <c r="N137" s="75"/>
      <c r="O137" s="75"/>
      <c r="P137" s="75"/>
      <c r="Q137" s="75">
        <f>1590000000+897519551-1587519551-900000000</f>
        <v>0</v>
      </c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>
        <v>121000000</v>
      </c>
      <c r="AH137" s="90"/>
      <c r="AI137" s="25">
        <f t="shared" ref="AI137:AI167" si="242">+AJ137/M137</f>
        <v>0</v>
      </c>
      <c r="AJ137" s="75">
        <f t="shared" si="207"/>
        <v>0</v>
      </c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25">
        <f t="shared" ref="BE137:BE167" si="243">1-AI137</f>
        <v>1</v>
      </c>
      <c r="BF137" s="75">
        <f t="shared" si="208"/>
        <v>121000000</v>
      </c>
      <c r="BG137" s="75">
        <f t="shared" si="209"/>
        <v>0</v>
      </c>
      <c r="BH137" s="75">
        <f t="shared" si="210"/>
        <v>0</v>
      </c>
      <c r="BI137" s="75"/>
      <c r="BJ137" s="75">
        <f t="shared" si="211"/>
        <v>0</v>
      </c>
      <c r="BK137" s="75">
        <f t="shared" si="212"/>
        <v>0</v>
      </c>
      <c r="BL137" s="75">
        <f t="shared" si="213"/>
        <v>0</v>
      </c>
      <c r="BM137" s="75">
        <f t="shared" si="214"/>
        <v>0</v>
      </c>
      <c r="BN137" s="75"/>
      <c r="BO137" s="75">
        <f t="shared" si="215"/>
        <v>0</v>
      </c>
      <c r="BP137" s="75">
        <f t="shared" si="216"/>
        <v>0</v>
      </c>
      <c r="BQ137" s="75">
        <f t="shared" si="217"/>
        <v>0</v>
      </c>
      <c r="BR137" s="75">
        <f t="shared" si="218"/>
        <v>0</v>
      </c>
      <c r="BS137" s="75">
        <f t="shared" si="219"/>
        <v>0</v>
      </c>
      <c r="BT137" s="75">
        <f t="shared" si="220"/>
        <v>0</v>
      </c>
      <c r="BU137" s="75">
        <f t="shared" si="221"/>
        <v>0</v>
      </c>
      <c r="BV137" s="75">
        <f t="shared" si="222"/>
        <v>0</v>
      </c>
      <c r="BW137" s="75">
        <f t="shared" si="223"/>
        <v>0</v>
      </c>
      <c r="BX137" s="75"/>
      <c r="BY137" s="75">
        <f t="shared" si="241"/>
        <v>0</v>
      </c>
      <c r="BZ137" s="75">
        <f t="shared" si="224"/>
        <v>121000000</v>
      </c>
      <c r="CA137" s="25">
        <f t="shared" ref="CA137:CA168" si="244">+CB137/M137</f>
        <v>0</v>
      </c>
      <c r="CB137" s="75">
        <f t="shared" si="225"/>
        <v>0</v>
      </c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25">
        <f t="shared" ref="CW137:CW167" si="245">1-CA137</f>
        <v>1</v>
      </c>
      <c r="CX137" s="75">
        <f t="shared" si="226"/>
        <v>121000000</v>
      </c>
      <c r="CY137" s="75"/>
      <c r="CZ137" s="75"/>
      <c r="DA137" s="75"/>
      <c r="DB137" s="75">
        <f t="shared" si="227"/>
        <v>0</v>
      </c>
      <c r="DC137" s="75">
        <f t="shared" si="228"/>
        <v>0</v>
      </c>
      <c r="DD137" s="75">
        <f t="shared" si="229"/>
        <v>0</v>
      </c>
      <c r="DE137" s="75">
        <f t="shared" si="230"/>
        <v>0</v>
      </c>
      <c r="DF137" s="75"/>
      <c r="DG137" s="75">
        <f t="shared" si="231"/>
        <v>0</v>
      </c>
      <c r="DH137" s="75">
        <f t="shared" si="232"/>
        <v>0</v>
      </c>
      <c r="DI137" s="75"/>
      <c r="DJ137" s="75">
        <f t="shared" si="233"/>
        <v>0</v>
      </c>
      <c r="DK137" s="75">
        <f t="shared" si="234"/>
        <v>0</v>
      </c>
      <c r="DL137" s="75">
        <f t="shared" si="235"/>
        <v>0</v>
      </c>
      <c r="DM137" s="75">
        <f t="shared" si="236"/>
        <v>0</v>
      </c>
      <c r="DN137" s="75">
        <f t="shared" si="237"/>
        <v>0</v>
      </c>
      <c r="DO137" s="75">
        <f t="shared" si="238"/>
        <v>0</v>
      </c>
      <c r="DP137" s="75">
        <f t="shared" si="239"/>
        <v>0</v>
      </c>
      <c r="DQ137" s="75"/>
      <c r="DR137" s="75">
        <f t="shared" si="240"/>
        <v>121000000</v>
      </c>
    </row>
    <row r="138" spans="1:123" ht="35.25" customHeight="1" x14ac:dyDescent="0.25">
      <c r="A138" s="246"/>
      <c r="B138" s="85"/>
      <c r="C138" s="86" t="s">
        <v>128</v>
      </c>
      <c r="D138" s="81" t="s">
        <v>127</v>
      </c>
      <c r="E138" s="80">
        <v>111</v>
      </c>
      <c r="F138" s="78" t="s">
        <v>12</v>
      </c>
      <c r="G138" s="228"/>
      <c r="H138" s="79">
        <f t="shared" si="204"/>
        <v>0</v>
      </c>
      <c r="I138" s="79">
        <f t="shared" si="205"/>
        <v>0</v>
      </c>
      <c r="J138" s="78"/>
      <c r="K138" s="78"/>
      <c r="L138" s="78"/>
      <c r="M138" s="75">
        <f t="shared" si="206"/>
        <v>0</v>
      </c>
      <c r="N138" s="45"/>
      <c r="O138" s="45"/>
      <c r="P138" s="45"/>
      <c r="Q138" s="75">
        <f>417803755-417803755</f>
        <v>0</v>
      </c>
      <c r="R138" s="45"/>
      <c r="S138" s="45"/>
      <c r="T138" s="45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45"/>
      <c r="AH138" s="90"/>
      <c r="AI138" s="25" t="e">
        <f t="shared" si="242"/>
        <v>#DIV/0!</v>
      </c>
      <c r="AJ138" s="75">
        <f t="shared" si="207"/>
        <v>0</v>
      </c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25" t="e">
        <f t="shared" si="243"/>
        <v>#DIV/0!</v>
      </c>
      <c r="BF138" s="75">
        <f t="shared" si="208"/>
        <v>0</v>
      </c>
      <c r="BG138" s="75">
        <f t="shared" si="209"/>
        <v>0</v>
      </c>
      <c r="BH138" s="75">
        <f t="shared" si="210"/>
        <v>0</v>
      </c>
      <c r="BI138" s="75"/>
      <c r="BJ138" s="75">
        <f t="shared" si="211"/>
        <v>0</v>
      </c>
      <c r="BK138" s="75">
        <f t="shared" si="212"/>
        <v>0</v>
      </c>
      <c r="BL138" s="75">
        <f t="shared" si="213"/>
        <v>0</v>
      </c>
      <c r="BM138" s="75">
        <f t="shared" si="214"/>
        <v>0</v>
      </c>
      <c r="BN138" s="75"/>
      <c r="BO138" s="75">
        <f t="shared" si="215"/>
        <v>0</v>
      </c>
      <c r="BP138" s="75">
        <f t="shared" si="216"/>
        <v>0</v>
      </c>
      <c r="BQ138" s="75">
        <f t="shared" si="217"/>
        <v>0</v>
      </c>
      <c r="BR138" s="75">
        <f t="shared" si="218"/>
        <v>0</v>
      </c>
      <c r="BS138" s="75">
        <f t="shared" si="219"/>
        <v>0</v>
      </c>
      <c r="BT138" s="75">
        <f t="shared" si="220"/>
        <v>0</v>
      </c>
      <c r="BU138" s="75">
        <f t="shared" si="221"/>
        <v>0</v>
      </c>
      <c r="BV138" s="75">
        <f t="shared" si="222"/>
        <v>0</v>
      </c>
      <c r="BW138" s="75">
        <f t="shared" si="223"/>
        <v>0</v>
      </c>
      <c r="BX138" s="75"/>
      <c r="BY138" s="75">
        <f t="shared" si="241"/>
        <v>0</v>
      </c>
      <c r="BZ138" s="75">
        <f t="shared" si="224"/>
        <v>0</v>
      </c>
      <c r="CA138" s="25" t="e">
        <f t="shared" si="244"/>
        <v>#DIV/0!</v>
      </c>
      <c r="CB138" s="75">
        <f t="shared" si="225"/>
        <v>0</v>
      </c>
      <c r="CC138" s="75"/>
      <c r="CD138" s="75"/>
      <c r="CE138" s="75"/>
      <c r="CF138" s="75"/>
      <c r="CG138" s="75"/>
      <c r="CH138" s="75"/>
      <c r="CI138" s="75"/>
      <c r="CJ138" s="75"/>
      <c r="CK138" s="75"/>
      <c r="CL138" s="75"/>
      <c r="CM138" s="75"/>
      <c r="CN138" s="75"/>
      <c r="CO138" s="75"/>
      <c r="CP138" s="75"/>
      <c r="CQ138" s="75"/>
      <c r="CR138" s="75"/>
      <c r="CS138" s="75"/>
      <c r="CT138" s="75"/>
      <c r="CU138" s="75"/>
      <c r="CV138" s="75"/>
      <c r="CW138" s="25" t="e">
        <f t="shared" si="245"/>
        <v>#DIV/0!</v>
      </c>
      <c r="CX138" s="75">
        <f t="shared" si="226"/>
        <v>0</v>
      </c>
      <c r="CY138" s="75"/>
      <c r="CZ138" s="75"/>
      <c r="DA138" s="75"/>
      <c r="DB138" s="75">
        <f t="shared" si="227"/>
        <v>0</v>
      </c>
      <c r="DC138" s="75">
        <f t="shared" si="228"/>
        <v>0</v>
      </c>
      <c r="DD138" s="75">
        <f t="shared" si="229"/>
        <v>0</v>
      </c>
      <c r="DE138" s="75">
        <f t="shared" si="230"/>
        <v>0</v>
      </c>
      <c r="DF138" s="75"/>
      <c r="DG138" s="75">
        <f t="shared" si="231"/>
        <v>0</v>
      </c>
      <c r="DH138" s="75">
        <f t="shared" si="232"/>
        <v>0</v>
      </c>
      <c r="DI138" s="75"/>
      <c r="DJ138" s="75">
        <f t="shared" si="233"/>
        <v>0</v>
      </c>
      <c r="DK138" s="75">
        <f t="shared" si="234"/>
        <v>0</v>
      </c>
      <c r="DL138" s="75">
        <f t="shared" si="235"/>
        <v>0</v>
      </c>
      <c r="DM138" s="75">
        <f t="shared" si="236"/>
        <v>0</v>
      </c>
      <c r="DN138" s="75">
        <f t="shared" si="237"/>
        <v>0</v>
      </c>
      <c r="DO138" s="75">
        <f t="shared" si="238"/>
        <v>0</v>
      </c>
      <c r="DP138" s="75">
        <f t="shared" si="239"/>
        <v>0</v>
      </c>
      <c r="DQ138" s="75"/>
      <c r="DR138" s="75">
        <f t="shared" si="240"/>
        <v>0</v>
      </c>
    </row>
    <row r="139" spans="1:123" ht="32.25" customHeight="1" x14ac:dyDescent="0.25">
      <c r="A139" s="246"/>
      <c r="B139" s="85"/>
      <c r="C139" s="86" t="s">
        <v>126</v>
      </c>
      <c r="D139" s="81" t="s">
        <v>125</v>
      </c>
      <c r="E139" s="80">
        <v>111</v>
      </c>
      <c r="F139" s="78" t="s">
        <v>12</v>
      </c>
      <c r="G139" s="228"/>
      <c r="H139" s="79">
        <f t="shared" si="204"/>
        <v>662075963</v>
      </c>
      <c r="I139" s="79">
        <f t="shared" si="205"/>
        <v>463285369</v>
      </c>
      <c r="J139" s="78"/>
      <c r="K139" s="78"/>
      <c r="L139" s="78"/>
      <c r="M139" s="75">
        <f t="shared" si="206"/>
        <v>1125361332</v>
      </c>
      <c r="N139" s="75"/>
      <c r="O139" s="75"/>
      <c r="P139" s="75"/>
      <c r="Q139" s="75">
        <f>371000000+890000000-104000000-133915719-12442500</f>
        <v>1010641781</v>
      </c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>
        <v>114719551</v>
      </c>
      <c r="AC139" s="75"/>
      <c r="AD139" s="75"/>
      <c r="AE139" s="75"/>
      <c r="AF139" s="75"/>
      <c r="AG139" s="75"/>
      <c r="AH139" s="90"/>
      <c r="AI139" s="25">
        <f t="shared" si="242"/>
        <v>0.58854690237393015</v>
      </c>
      <c r="AJ139" s="75">
        <f t="shared" si="207"/>
        <v>662327926</v>
      </c>
      <c r="AK139" s="75"/>
      <c r="AL139" s="75"/>
      <c r="AM139" s="75"/>
      <c r="AN139" s="75">
        <f>+'[1]AGOSTO 2015'!$M$125</f>
        <v>662327926</v>
      </c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25">
        <f t="shared" si="243"/>
        <v>0.41145309762606985</v>
      </c>
      <c r="BF139" s="75">
        <f t="shared" si="208"/>
        <v>463033406</v>
      </c>
      <c r="BG139" s="75">
        <f t="shared" si="209"/>
        <v>0</v>
      </c>
      <c r="BH139" s="75">
        <f t="shared" si="210"/>
        <v>0</v>
      </c>
      <c r="BI139" s="75"/>
      <c r="BJ139" s="75">
        <f t="shared" si="211"/>
        <v>348313855</v>
      </c>
      <c r="BK139" s="75">
        <f t="shared" si="212"/>
        <v>0</v>
      </c>
      <c r="BL139" s="75">
        <f t="shared" si="213"/>
        <v>0</v>
      </c>
      <c r="BM139" s="75">
        <f t="shared" si="214"/>
        <v>0</v>
      </c>
      <c r="BN139" s="75"/>
      <c r="BO139" s="75">
        <f t="shared" si="215"/>
        <v>0</v>
      </c>
      <c r="BP139" s="75">
        <f t="shared" si="216"/>
        <v>0</v>
      </c>
      <c r="BQ139" s="75">
        <f t="shared" si="217"/>
        <v>0</v>
      </c>
      <c r="BR139" s="75">
        <f t="shared" si="218"/>
        <v>0</v>
      </c>
      <c r="BS139" s="75">
        <f t="shared" si="219"/>
        <v>0</v>
      </c>
      <c r="BT139" s="75">
        <f t="shared" si="220"/>
        <v>0</v>
      </c>
      <c r="BU139" s="75">
        <f t="shared" si="221"/>
        <v>114719551</v>
      </c>
      <c r="BV139" s="75">
        <f t="shared" si="222"/>
        <v>0</v>
      </c>
      <c r="BW139" s="75">
        <f t="shared" si="223"/>
        <v>0</v>
      </c>
      <c r="BX139" s="75"/>
      <c r="BY139" s="75">
        <f t="shared" si="241"/>
        <v>0</v>
      </c>
      <c r="BZ139" s="75">
        <f t="shared" si="224"/>
        <v>0</v>
      </c>
      <c r="CA139" s="25">
        <f t="shared" si="244"/>
        <v>0.5883230071743748</v>
      </c>
      <c r="CB139" s="75">
        <f t="shared" si="225"/>
        <v>662075963</v>
      </c>
      <c r="CC139" s="75"/>
      <c r="CD139" s="75"/>
      <c r="CE139" s="75"/>
      <c r="CF139" s="75">
        <f>+'[1]AGOSTO 2015'!$H$126+'[1]AGOSTO 2015'!$H$128+'[1]AGOSTO 2015'!$H$130+'[1]AGOSTO 2015'!$H$133+'[1]AGOSTO 2015'!$H$135+'[1]AGOSTO 2015'!$H$137+'[1]AGOSTO 2015'!$H$139+'[1]AGOSTO 2015'!$H$141</f>
        <v>662075963</v>
      </c>
      <c r="CG139" s="75"/>
      <c r="CH139" s="75"/>
      <c r="CI139" s="75"/>
      <c r="CJ139" s="75"/>
      <c r="CK139" s="75"/>
      <c r="CL139" s="75"/>
      <c r="CM139" s="75"/>
      <c r="CN139" s="75"/>
      <c r="CO139" s="75"/>
      <c r="CP139" s="75"/>
      <c r="CQ139" s="75"/>
      <c r="CR139" s="75"/>
      <c r="CS139" s="75"/>
      <c r="CT139" s="75"/>
      <c r="CU139" s="75"/>
      <c r="CV139" s="75"/>
      <c r="CW139" s="25">
        <f t="shared" si="245"/>
        <v>0.4116769928256252</v>
      </c>
      <c r="CX139" s="75">
        <f t="shared" si="226"/>
        <v>463285369</v>
      </c>
      <c r="CY139" s="75"/>
      <c r="CZ139" s="75"/>
      <c r="DA139" s="75"/>
      <c r="DB139" s="75">
        <f t="shared" si="227"/>
        <v>348565818</v>
      </c>
      <c r="DC139" s="75">
        <f t="shared" si="228"/>
        <v>0</v>
      </c>
      <c r="DD139" s="75">
        <f t="shared" si="229"/>
        <v>0</v>
      </c>
      <c r="DE139" s="75">
        <f t="shared" si="230"/>
        <v>0</v>
      </c>
      <c r="DF139" s="75"/>
      <c r="DG139" s="75">
        <f t="shared" si="231"/>
        <v>0</v>
      </c>
      <c r="DH139" s="75">
        <f t="shared" si="232"/>
        <v>0</v>
      </c>
      <c r="DI139" s="75"/>
      <c r="DJ139" s="75">
        <f t="shared" si="233"/>
        <v>0</v>
      </c>
      <c r="DK139" s="75">
        <f t="shared" si="234"/>
        <v>0</v>
      </c>
      <c r="DL139" s="75">
        <f t="shared" si="235"/>
        <v>0</v>
      </c>
      <c r="DM139" s="75">
        <f t="shared" si="236"/>
        <v>114719551</v>
      </c>
      <c r="DN139" s="75">
        <f t="shared" si="237"/>
        <v>0</v>
      </c>
      <c r="DO139" s="75">
        <f t="shared" si="238"/>
        <v>0</v>
      </c>
      <c r="DP139" s="75">
        <f t="shared" si="239"/>
        <v>0</v>
      </c>
      <c r="DQ139" s="75"/>
      <c r="DR139" s="75">
        <f t="shared" si="240"/>
        <v>0</v>
      </c>
    </row>
    <row r="140" spans="1:123" ht="50.25" customHeight="1" x14ac:dyDescent="0.25">
      <c r="A140" s="246"/>
      <c r="B140" s="85"/>
      <c r="C140" s="86" t="s">
        <v>124</v>
      </c>
      <c r="D140" s="81" t="s">
        <v>123</v>
      </c>
      <c r="E140" s="80">
        <v>111</v>
      </c>
      <c r="F140" s="78" t="s">
        <v>12</v>
      </c>
      <c r="G140" s="228"/>
      <c r="H140" s="79">
        <f t="shared" si="204"/>
        <v>239600131</v>
      </c>
      <c r="I140" s="79">
        <f t="shared" si="205"/>
        <v>999869</v>
      </c>
      <c r="J140" s="78"/>
      <c r="K140" s="78"/>
      <c r="L140" s="78"/>
      <c r="M140" s="75">
        <f t="shared" si="206"/>
        <v>240600000</v>
      </c>
      <c r="N140" s="75"/>
      <c r="O140" s="75"/>
      <c r="P140" s="75"/>
      <c r="Q140" s="75">
        <f>540600000-300000000</f>
        <v>240600000</v>
      </c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90"/>
      <c r="AI140" s="25">
        <f t="shared" si="242"/>
        <v>0.99590349542809642</v>
      </c>
      <c r="AJ140" s="75">
        <f t="shared" si="207"/>
        <v>239614381</v>
      </c>
      <c r="AK140" s="75"/>
      <c r="AL140" s="75"/>
      <c r="AM140" s="75"/>
      <c r="AN140" s="75">
        <f>+'[2]JULIO 2015'!$M$140</f>
        <v>239614381</v>
      </c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25">
        <f t="shared" si="243"/>
        <v>4.0965045719035809E-3</v>
      </c>
      <c r="BF140" s="75">
        <f t="shared" si="208"/>
        <v>985619</v>
      </c>
      <c r="BG140" s="75">
        <f t="shared" si="209"/>
        <v>0</v>
      </c>
      <c r="BH140" s="75">
        <f t="shared" si="210"/>
        <v>0</v>
      </c>
      <c r="BI140" s="75"/>
      <c r="BJ140" s="75">
        <f t="shared" si="211"/>
        <v>985619</v>
      </c>
      <c r="BK140" s="75">
        <f t="shared" si="212"/>
        <v>0</v>
      </c>
      <c r="BL140" s="75">
        <f t="shared" si="213"/>
        <v>0</v>
      </c>
      <c r="BM140" s="75">
        <f t="shared" si="214"/>
        <v>0</v>
      </c>
      <c r="BN140" s="75"/>
      <c r="BO140" s="75">
        <f t="shared" si="215"/>
        <v>0</v>
      </c>
      <c r="BP140" s="75">
        <f t="shared" si="216"/>
        <v>0</v>
      </c>
      <c r="BQ140" s="75">
        <f t="shared" si="217"/>
        <v>0</v>
      </c>
      <c r="BR140" s="75">
        <f t="shared" si="218"/>
        <v>0</v>
      </c>
      <c r="BS140" s="75">
        <f t="shared" si="219"/>
        <v>0</v>
      </c>
      <c r="BT140" s="75">
        <f t="shared" si="220"/>
        <v>0</v>
      </c>
      <c r="BU140" s="75">
        <f t="shared" si="221"/>
        <v>0</v>
      </c>
      <c r="BV140" s="75">
        <f t="shared" si="222"/>
        <v>0</v>
      </c>
      <c r="BW140" s="75">
        <f t="shared" si="223"/>
        <v>0</v>
      </c>
      <c r="BX140" s="75"/>
      <c r="BY140" s="75">
        <f t="shared" si="241"/>
        <v>0</v>
      </c>
      <c r="BZ140" s="75">
        <f t="shared" si="224"/>
        <v>0</v>
      </c>
      <c r="CA140" s="25">
        <f t="shared" si="244"/>
        <v>0.99584426849542806</v>
      </c>
      <c r="CB140" s="75">
        <f t="shared" si="225"/>
        <v>239600131</v>
      </c>
      <c r="CC140" s="75"/>
      <c r="CD140" s="75"/>
      <c r="CE140" s="75"/>
      <c r="CF140" s="75">
        <f>+'[2]JULIO 2015'!$H$138</f>
        <v>239600131</v>
      </c>
      <c r="CG140" s="75"/>
      <c r="CH140" s="75"/>
      <c r="CI140" s="75"/>
      <c r="CJ140" s="75"/>
      <c r="CK140" s="75"/>
      <c r="CL140" s="75"/>
      <c r="CM140" s="75"/>
      <c r="CN140" s="75"/>
      <c r="CO140" s="75"/>
      <c r="CP140" s="75"/>
      <c r="CQ140" s="75"/>
      <c r="CR140" s="75"/>
      <c r="CS140" s="75"/>
      <c r="CT140" s="75"/>
      <c r="CU140" s="75"/>
      <c r="CV140" s="75"/>
      <c r="CW140" s="25">
        <f t="shared" si="245"/>
        <v>4.1557315045719356E-3</v>
      </c>
      <c r="CX140" s="75">
        <f t="shared" si="226"/>
        <v>999869</v>
      </c>
      <c r="CY140" s="75"/>
      <c r="CZ140" s="75"/>
      <c r="DA140" s="75"/>
      <c r="DB140" s="75">
        <f t="shared" si="227"/>
        <v>999869</v>
      </c>
      <c r="DC140" s="75">
        <f t="shared" si="228"/>
        <v>0</v>
      </c>
      <c r="DD140" s="75">
        <f t="shared" si="229"/>
        <v>0</v>
      </c>
      <c r="DE140" s="75">
        <f t="shared" si="230"/>
        <v>0</v>
      </c>
      <c r="DF140" s="75"/>
      <c r="DG140" s="75">
        <f t="shared" si="231"/>
        <v>0</v>
      </c>
      <c r="DH140" s="75">
        <f t="shared" si="232"/>
        <v>0</v>
      </c>
      <c r="DI140" s="75"/>
      <c r="DJ140" s="75">
        <f t="shared" si="233"/>
        <v>0</v>
      </c>
      <c r="DK140" s="75">
        <f t="shared" si="234"/>
        <v>0</v>
      </c>
      <c r="DL140" s="75">
        <f t="shared" si="235"/>
        <v>0</v>
      </c>
      <c r="DM140" s="75">
        <f t="shared" si="236"/>
        <v>0</v>
      </c>
      <c r="DN140" s="75">
        <f t="shared" si="237"/>
        <v>0</v>
      </c>
      <c r="DO140" s="75">
        <f t="shared" si="238"/>
        <v>0</v>
      </c>
      <c r="DP140" s="75">
        <f t="shared" si="239"/>
        <v>0</v>
      </c>
      <c r="DQ140" s="75"/>
      <c r="DR140" s="75">
        <f t="shared" si="240"/>
        <v>0</v>
      </c>
    </row>
    <row r="141" spans="1:123" ht="48" customHeight="1" x14ac:dyDescent="0.25">
      <c r="A141" s="246"/>
      <c r="B141" s="85"/>
      <c r="C141" s="86" t="s">
        <v>122</v>
      </c>
      <c r="D141" s="81" t="s">
        <v>121</v>
      </c>
      <c r="E141" s="80">
        <v>111</v>
      </c>
      <c r="F141" s="78" t="s">
        <v>12</v>
      </c>
      <c r="G141" s="228"/>
      <c r="H141" s="79">
        <f t="shared" si="204"/>
        <v>0</v>
      </c>
      <c r="I141" s="79">
        <f t="shared" si="205"/>
        <v>0</v>
      </c>
      <c r="J141" s="78"/>
      <c r="K141" s="78"/>
      <c r="L141" s="78"/>
      <c r="M141" s="75">
        <f t="shared" si="206"/>
        <v>0</v>
      </c>
      <c r="N141" s="75"/>
      <c r="O141" s="75"/>
      <c r="P141" s="75"/>
      <c r="Q141" s="75">
        <f>2968000000-968000000-897000000-103000000-1000000000</f>
        <v>0</v>
      </c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90"/>
      <c r="AI141" s="25" t="e">
        <f t="shared" si="242"/>
        <v>#DIV/0!</v>
      </c>
      <c r="AJ141" s="75">
        <f t="shared" si="207"/>
        <v>0</v>
      </c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25" t="e">
        <f t="shared" si="243"/>
        <v>#DIV/0!</v>
      </c>
      <c r="BF141" s="75">
        <f t="shared" si="208"/>
        <v>0</v>
      </c>
      <c r="BG141" s="75">
        <f t="shared" si="209"/>
        <v>0</v>
      </c>
      <c r="BH141" s="75">
        <f t="shared" si="210"/>
        <v>0</v>
      </c>
      <c r="BI141" s="75"/>
      <c r="BJ141" s="75">
        <f t="shared" si="211"/>
        <v>0</v>
      </c>
      <c r="BK141" s="75">
        <f t="shared" si="212"/>
        <v>0</v>
      </c>
      <c r="BL141" s="75">
        <f t="shared" si="213"/>
        <v>0</v>
      </c>
      <c r="BM141" s="75">
        <f t="shared" si="214"/>
        <v>0</v>
      </c>
      <c r="BN141" s="75"/>
      <c r="BO141" s="75">
        <f t="shared" si="215"/>
        <v>0</v>
      </c>
      <c r="BP141" s="75">
        <f t="shared" si="216"/>
        <v>0</v>
      </c>
      <c r="BQ141" s="75">
        <f t="shared" si="217"/>
        <v>0</v>
      </c>
      <c r="BR141" s="75">
        <f t="shared" si="218"/>
        <v>0</v>
      </c>
      <c r="BS141" s="75">
        <f t="shared" si="219"/>
        <v>0</v>
      </c>
      <c r="BT141" s="75">
        <f t="shared" si="220"/>
        <v>0</v>
      </c>
      <c r="BU141" s="75">
        <f t="shared" si="221"/>
        <v>0</v>
      </c>
      <c r="BV141" s="75">
        <f t="shared" si="222"/>
        <v>0</v>
      </c>
      <c r="BW141" s="75">
        <f t="shared" si="223"/>
        <v>0</v>
      </c>
      <c r="BX141" s="75"/>
      <c r="BY141" s="75">
        <f t="shared" si="241"/>
        <v>0</v>
      </c>
      <c r="BZ141" s="75">
        <f t="shared" si="224"/>
        <v>0</v>
      </c>
      <c r="CA141" s="25" t="e">
        <f t="shared" si="244"/>
        <v>#DIV/0!</v>
      </c>
      <c r="CB141" s="75">
        <f t="shared" si="225"/>
        <v>0</v>
      </c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25" t="e">
        <f t="shared" si="245"/>
        <v>#DIV/0!</v>
      </c>
      <c r="CX141" s="75">
        <f t="shared" si="226"/>
        <v>0</v>
      </c>
      <c r="CY141" s="75"/>
      <c r="CZ141" s="75"/>
      <c r="DA141" s="75"/>
      <c r="DB141" s="75">
        <f t="shared" si="227"/>
        <v>0</v>
      </c>
      <c r="DC141" s="75">
        <f t="shared" si="228"/>
        <v>0</v>
      </c>
      <c r="DD141" s="75">
        <f t="shared" si="229"/>
        <v>0</v>
      </c>
      <c r="DE141" s="75">
        <f t="shared" si="230"/>
        <v>0</v>
      </c>
      <c r="DF141" s="75"/>
      <c r="DG141" s="75">
        <f t="shared" si="231"/>
        <v>0</v>
      </c>
      <c r="DH141" s="75">
        <f t="shared" si="232"/>
        <v>0</v>
      </c>
      <c r="DI141" s="75"/>
      <c r="DJ141" s="75">
        <f t="shared" si="233"/>
        <v>0</v>
      </c>
      <c r="DK141" s="75">
        <f t="shared" si="234"/>
        <v>0</v>
      </c>
      <c r="DL141" s="75">
        <f t="shared" si="235"/>
        <v>0</v>
      </c>
      <c r="DM141" s="75">
        <f t="shared" si="236"/>
        <v>0</v>
      </c>
      <c r="DN141" s="75">
        <f t="shared" si="237"/>
        <v>0</v>
      </c>
      <c r="DO141" s="75">
        <f t="shared" si="238"/>
        <v>0</v>
      </c>
      <c r="DP141" s="75">
        <f t="shared" si="239"/>
        <v>0</v>
      </c>
      <c r="DQ141" s="75"/>
      <c r="DR141" s="75">
        <f t="shared" si="240"/>
        <v>0</v>
      </c>
    </row>
    <row r="142" spans="1:123" ht="64.5" customHeight="1" x14ac:dyDescent="0.25">
      <c r="A142" s="246"/>
      <c r="B142" s="85"/>
      <c r="C142" s="86" t="s">
        <v>120</v>
      </c>
      <c r="D142" s="81" t="s">
        <v>119</v>
      </c>
      <c r="E142" s="80">
        <v>111</v>
      </c>
      <c r="F142" s="78" t="s">
        <v>118</v>
      </c>
      <c r="G142" s="228"/>
      <c r="H142" s="79">
        <f t="shared" si="204"/>
        <v>21261400</v>
      </c>
      <c r="I142" s="79">
        <f t="shared" si="205"/>
        <v>64238600</v>
      </c>
      <c r="J142" s="78"/>
      <c r="K142" s="78"/>
      <c r="L142" s="78"/>
      <c r="M142" s="75">
        <f t="shared" si="206"/>
        <v>85500000</v>
      </c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>
        <f>587519551+2000000+10000000+37000000-597519551+46500000</f>
        <v>85500000</v>
      </c>
      <c r="AH142" s="90"/>
      <c r="AI142" s="25">
        <f t="shared" si="242"/>
        <v>0.84345029239766078</v>
      </c>
      <c r="AJ142" s="75">
        <f t="shared" si="207"/>
        <v>72115000</v>
      </c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>
        <f>+'[1]AGOSTO 2015'!$G$156</f>
        <v>72115000</v>
      </c>
      <c r="BE142" s="25">
        <f t="shared" si="243"/>
        <v>0.15654970760233922</v>
      </c>
      <c r="BF142" s="75">
        <f t="shared" si="208"/>
        <v>13385000</v>
      </c>
      <c r="BG142" s="75">
        <f t="shared" si="209"/>
        <v>0</v>
      </c>
      <c r="BH142" s="75">
        <f t="shared" si="210"/>
        <v>0</v>
      </c>
      <c r="BI142" s="75"/>
      <c r="BJ142" s="75">
        <f t="shared" si="211"/>
        <v>0</v>
      </c>
      <c r="BK142" s="75">
        <f t="shared" si="212"/>
        <v>0</v>
      </c>
      <c r="BL142" s="75">
        <f t="shared" si="213"/>
        <v>0</v>
      </c>
      <c r="BM142" s="75">
        <f t="shared" si="214"/>
        <v>0</v>
      </c>
      <c r="BN142" s="75"/>
      <c r="BO142" s="75">
        <f t="shared" si="215"/>
        <v>0</v>
      </c>
      <c r="BP142" s="75">
        <f t="shared" si="216"/>
        <v>0</v>
      </c>
      <c r="BQ142" s="75">
        <f t="shared" si="217"/>
        <v>0</v>
      </c>
      <c r="BR142" s="75">
        <f t="shared" si="218"/>
        <v>0</v>
      </c>
      <c r="BS142" s="75">
        <f t="shared" si="219"/>
        <v>0</v>
      </c>
      <c r="BT142" s="75">
        <f t="shared" si="220"/>
        <v>0</v>
      </c>
      <c r="BU142" s="75">
        <f t="shared" si="221"/>
        <v>0</v>
      </c>
      <c r="BV142" s="75">
        <f t="shared" si="222"/>
        <v>0</v>
      </c>
      <c r="BW142" s="75">
        <f t="shared" si="223"/>
        <v>0</v>
      </c>
      <c r="BX142" s="75"/>
      <c r="BY142" s="75">
        <f t="shared" si="241"/>
        <v>0</v>
      </c>
      <c r="BZ142" s="75">
        <f t="shared" si="224"/>
        <v>13385000</v>
      </c>
      <c r="CA142" s="25">
        <f t="shared" si="244"/>
        <v>0.24867134502923977</v>
      </c>
      <c r="CB142" s="75">
        <f t="shared" si="225"/>
        <v>21261400</v>
      </c>
      <c r="CC142" s="75"/>
      <c r="CD142" s="75"/>
      <c r="CE142" s="75"/>
      <c r="CF142" s="75"/>
      <c r="CG142" s="75"/>
      <c r="CH142" s="75"/>
      <c r="CI142" s="75"/>
      <c r="CJ142" s="75"/>
      <c r="CK142" s="75"/>
      <c r="CL142" s="75"/>
      <c r="CM142" s="75"/>
      <c r="CN142" s="75"/>
      <c r="CO142" s="75"/>
      <c r="CP142" s="75"/>
      <c r="CQ142" s="75"/>
      <c r="CR142" s="75"/>
      <c r="CS142" s="75"/>
      <c r="CT142" s="75"/>
      <c r="CU142" s="75"/>
      <c r="CV142" s="75">
        <f>+'[1]AGOSTO 2015'!$H$156</f>
        <v>21261400</v>
      </c>
      <c r="CW142" s="25">
        <f t="shared" si="245"/>
        <v>0.75132865497076029</v>
      </c>
      <c r="CX142" s="75">
        <f t="shared" si="226"/>
        <v>64238600</v>
      </c>
      <c r="CY142" s="75"/>
      <c r="CZ142" s="75"/>
      <c r="DA142" s="75"/>
      <c r="DB142" s="75">
        <f t="shared" si="227"/>
        <v>0</v>
      </c>
      <c r="DC142" s="75">
        <f t="shared" si="228"/>
        <v>0</v>
      </c>
      <c r="DD142" s="75">
        <f t="shared" si="229"/>
        <v>0</v>
      </c>
      <c r="DE142" s="75">
        <f t="shared" si="230"/>
        <v>0</v>
      </c>
      <c r="DF142" s="75"/>
      <c r="DG142" s="75">
        <f t="shared" si="231"/>
        <v>0</v>
      </c>
      <c r="DH142" s="75">
        <f t="shared" si="232"/>
        <v>0</v>
      </c>
      <c r="DI142" s="75"/>
      <c r="DJ142" s="75">
        <f t="shared" si="233"/>
        <v>0</v>
      </c>
      <c r="DK142" s="75">
        <f t="shared" si="234"/>
        <v>0</v>
      </c>
      <c r="DL142" s="75">
        <f t="shared" si="235"/>
        <v>0</v>
      </c>
      <c r="DM142" s="75">
        <f t="shared" si="236"/>
        <v>0</v>
      </c>
      <c r="DN142" s="75">
        <f t="shared" si="237"/>
        <v>0</v>
      </c>
      <c r="DO142" s="75">
        <f t="shared" si="238"/>
        <v>0</v>
      </c>
      <c r="DP142" s="75">
        <f t="shared" si="239"/>
        <v>0</v>
      </c>
      <c r="DQ142" s="75"/>
      <c r="DR142" s="75">
        <f t="shared" si="240"/>
        <v>64238600</v>
      </c>
    </row>
    <row r="143" spans="1:123" ht="24" customHeight="1" x14ac:dyDescent="0.25">
      <c r="A143" s="246"/>
      <c r="B143" s="85"/>
      <c r="C143" s="86" t="s">
        <v>117</v>
      </c>
      <c r="D143" s="81" t="s">
        <v>116</v>
      </c>
      <c r="E143" s="80">
        <v>111</v>
      </c>
      <c r="F143" s="78" t="s">
        <v>12</v>
      </c>
      <c r="G143" s="228"/>
      <c r="H143" s="79">
        <f t="shared" si="204"/>
        <v>0</v>
      </c>
      <c r="I143" s="79">
        <f t="shared" si="205"/>
        <v>0</v>
      </c>
      <c r="J143" s="78"/>
      <c r="K143" s="78"/>
      <c r="L143" s="78"/>
      <c r="M143" s="75">
        <f t="shared" si="206"/>
        <v>0</v>
      </c>
      <c r="N143" s="75"/>
      <c r="O143" s="75"/>
      <c r="P143" s="75"/>
      <c r="Q143" s="75">
        <f>400000000-400000000</f>
        <v>0</v>
      </c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89"/>
      <c r="AI143" s="25" t="e">
        <f t="shared" si="242"/>
        <v>#DIV/0!</v>
      </c>
      <c r="AJ143" s="75">
        <f t="shared" si="207"/>
        <v>0</v>
      </c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25" t="e">
        <f t="shared" si="243"/>
        <v>#DIV/0!</v>
      </c>
      <c r="BF143" s="75">
        <f t="shared" si="208"/>
        <v>0</v>
      </c>
      <c r="BG143" s="75"/>
      <c r="BH143" s="75"/>
      <c r="BI143" s="75"/>
      <c r="BJ143" s="75">
        <f t="shared" ref="BJ143:BJ186" si="246">Q143-AN143</f>
        <v>0</v>
      </c>
      <c r="BK143" s="75"/>
      <c r="BL143" s="75"/>
      <c r="BM143" s="75"/>
      <c r="BN143" s="75"/>
      <c r="BO143" s="75"/>
      <c r="BP143" s="75"/>
      <c r="BQ143" s="75"/>
      <c r="BR143" s="75"/>
      <c r="BS143" s="75"/>
      <c r="BT143" s="75"/>
      <c r="BU143" s="75"/>
      <c r="BV143" s="75"/>
      <c r="BW143" s="75"/>
      <c r="BX143" s="75"/>
      <c r="BY143" s="75"/>
      <c r="BZ143" s="75"/>
      <c r="CA143" s="25" t="e">
        <f t="shared" si="244"/>
        <v>#DIV/0!</v>
      </c>
      <c r="CB143" s="75">
        <f t="shared" si="225"/>
        <v>0</v>
      </c>
      <c r="CC143" s="75"/>
      <c r="CD143" s="75"/>
      <c r="CE143" s="75"/>
      <c r="CF143" s="75"/>
      <c r="CG143" s="75"/>
      <c r="CH143" s="75"/>
      <c r="CI143" s="75"/>
      <c r="CJ143" s="75"/>
      <c r="CK143" s="75"/>
      <c r="CL143" s="75"/>
      <c r="CM143" s="75"/>
      <c r="CN143" s="75"/>
      <c r="CO143" s="75"/>
      <c r="CP143" s="75"/>
      <c r="CQ143" s="75"/>
      <c r="CR143" s="75"/>
      <c r="CS143" s="75"/>
      <c r="CT143" s="75"/>
      <c r="CU143" s="75"/>
      <c r="CV143" s="75"/>
      <c r="CW143" s="25" t="e">
        <f t="shared" si="245"/>
        <v>#DIV/0!</v>
      </c>
      <c r="CX143" s="75">
        <f t="shared" si="226"/>
        <v>0</v>
      </c>
      <c r="CY143" s="75"/>
      <c r="CZ143" s="75"/>
      <c r="DA143" s="75"/>
      <c r="DB143" s="75">
        <f t="shared" ref="DB143:DB186" si="247">Q143-CF143</f>
        <v>0</v>
      </c>
      <c r="DC143" s="75"/>
      <c r="DD143" s="75"/>
      <c r="DE143" s="75"/>
      <c r="DF143" s="75"/>
      <c r="DG143" s="75"/>
      <c r="DH143" s="75"/>
      <c r="DI143" s="75"/>
      <c r="DJ143" s="75"/>
      <c r="DK143" s="75"/>
      <c r="DL143" s="75"/>
      <c r="DM143" s="75"/>
      <c r="DN143" s="75"/>
      <c r="DO143" s="75"/>
      <c r="DP143" s="75"/>
      <c r="DQ143" s="75"/>
      <c r="DR143" s="75"/>
    </row>
    <row r="144" spans="1:123" ht="64.5" customHeight="1" x14ac:dyDescent="0.25">
      <c r="A144" s="246"/>
      <c r="B144" s="85" t="s">
        <v>115</v>
      </c>
      <c r="C144" s="86" t="s">
        <v>114</v>
      </c>
      <c r="D144" s="81" t="s">
        <v>113</v>
      </c>
      <c r="E144" s="80">
        <v>211</v>
      </c>
      <c r="F144" s="78" t="s">
        <v>12</v>
      </c>
      <c r="G144" s="228"/>
      <c r="H144" s="79">
        <f t="shared" si="204"/>
        <v>189556618</v>
      </c>
      <c r="I144" s="79">
        <f t="shared" si="205"/>
        <v>0</v>
      </c>
      <c r="J144" s="78"/>
      <c r="K144" s="78"/>
      <c r="L144" s="78"/>
      <c r="M144" s="75">
        <f t="shared" si="206"/>
        <v>189556618</v>
      </c>
      <c r="N144" s="75"/>
      <c r="O144" s="75"/>
      <c r="P144" s="75"/>
      <c r="Q144" s="75">
        <f>500000000-100000000-210443382</f>
        <v>189556618</v>
      </c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I144" s="25">
        <f t="shared" si="242"/>
        <v>1</v>
      </c>
      <c r="AJ144" s="75">
        <f t="shared" si="207"/>
        <v>189556618</v>
      </c>
      <c r="AK144" s="75"/>
      <c r="AL144" s="75"/>
      <c r="AM144" s="75"/>
      <c r="AN144" s="75">
        <v>189556618</v>
      </c>
      <c r="AO144" s="75"/>
      <c r="AP144" s="75"/>
      <c r="AQ144" s="75"/>
      <c r="AR144" s="75"/>
      <c r="AS144" s="75"/>
      <c r="AT144" s="75"/>
      <c r="AU144" s="75"/>
      <c r="AV144" s="75"/>
      <c r="AW144" s="75"/>
      <c r="AX144" s="75"/>
      <c r="AY144" s="75"/>
      <c r="AZ144" s="75"/>
      <c r="BA144" s="75"/>
      <c r="BB144" s="75"/>
      <c r="BC144" s="75"/>
      <c r="BD144" s="75"/>
      <c r="BE144" s="25">
        <f t="shared" si="243"/>
        <v>0</v>
      </c>
      <c r="BF144" s="75">
        <f t="shared" si="208"/>
        <v>0</v>
      </c>
      <c r="BG144" s="75">
        <f t="shared" ref="BG144:BG165" si="248">+N144-AK144</f>
        <v>0</v>
      </c>
      <c r="BH144" s="75">
        <f t="shared" ref="BH144:BH165" si="249">O144-AL144</f>
        <v>0</v>
      </c>
      <c r="BI144" s="75"/>
      <c r="BJ144" s="75">
        <f t="shared" si="246"/>
        <v>0</v>
      </c>
      <c r="BK144" s="75">
        <f t="shared" ref="BK144:BK165" si="250">R144-AO144</f>
        <v>0</v>
      </c>
      <c r="BL144" s="75">
        <f t="shared" ref="BL144:BL165" si="251">+S144-AP144</f>
        <v>0</v>
      </c>
      <c r="BM144" s="75">
        <f t="shared" ref="BM144:BM165" si="252">+T144-AQ144</f>
        <v>0</v>
      </c>
      <c r="BN144" s="75"/>
      <c r="BO144" s="75">
        <f t="shared" ref="BO144:BO165" si="253">+V144-AS144</f>
        <v>0</v>
      </c>
      <c r="BP144" s="75">
        <f t="shared" ref="BP144:BP165" si="254">+W144-AT144</f>
        <v>0</v>
      </c>
      <c r="BQ144" s="75">
        <f t="shared" ref="BQ144:BQ165" si="255">+X144-AU144</f>
        <v>0</v>
      </c>
      <c r="BR144" s="75">
        <f t="shared" ref="BR144:BR165" si="256">+Y144-AV144</f>
        <v>0</v>
      </c>
      <c r="BS144" s="75">
        <f t="shared" ref="BS144:BS165" si="257">+Z144-AW144</f>
        <v>0</v>
      </c>
      <c r="BT144" s="75">
        <f t="shared" ref="BT144:BT165" si="258">+AA144-AX144</f>
        <v>0</v>
      </c>
      <c r="BU144" s="75">
        <f t="shared" ref="BU144:BU165" si="259">+AB144-AY144</f>
        <v>0</v>
      </c>
      <c r="BV144" s="75">
        <f t="shared" ref="BV144:BV165" si="260">+AC144-AZ144</f>
        <v>0</v>
      </c>
      <c r="BW144" s="75">
        <f t="shared" ref="BW144:BW165" si="261">+AD144-BA144</f>
        <v>0</v>
      </c>
      <c r="BX144" s="75"/>
      <c r="BY144" s="75">
        <f t="shared" ref="BY144:BY165" si="262">+AF144-BC144</f>
        <v>0</v>
      </c>
      <c r="BZ144" s="75">
        <f t="shared" ref="BZ144:BZ165" si="263">+AG144-BD144</f>
        <v>0</v>
      </c>
      <c r="CA144" s="25">
        <f t="shared" si="244"/>
        <v>1</v>
      </c>
      <c r="CB144" s="75">
        <f t="shared" si="225"/>
        <v>189556618</v>
      </c>
      <c r="CC144" s="75"/>
      <c r="CD144" s="75"/>
      <c r="CE144" s="75"/>
      <c r="CF144" s="75">
        <f>+'[6]JUNIO 2015'!$H$171</f>
        <v>189556618</v>
      </c>
      <c r="CG144" s="75"/>
      <c r="CH144" s="75"/>
      <c r="CI144" s="75"/>
      <c r="CJ144" s="75"/>
      <c r="CK144" s="75"/>
      <c r="CL144" s="75"/>
      <c r="CM144" s="75"/>
      <c r="CN144" s="75"/>
      <c r="CO144" s="75"/>
      <c r="CP144" s="75"/>
      <c r="CQ144" s="75"/>
      <c r="CR144" s="75"/>
      <c r="CS144" s="75"/>
      <c r="CT144" s="75"/>
      <c r="CU144" s="75"/>
      <c r="CV144" s="75"/>
      <c r="CW144" s="25">
        <f t="shared" si="245"/>
        <v>0</v>
      </c>
      <c r="CX144" s="75">
        <f t="shared" si="226"/>
        <v>0</v>
      </c>
      <c r="CY144" s="75"/>
      <c r="CZ144" s="75"/>
      <c r="DA144" s="75"/>
      <c r="DB144" s="75">
        <f t="shared" si="247"/>
        <v>0</v>
      </c>
      <c r="DC144" s="75">
        <f t="shared" ref="DC144:DC165" si="264">R144-CG144</f>
        <v>0</v>
      </c>
      <c r="DD144" s="75">
        <f t="shared" ref="DD144:DD165" si="265">S144-CH144</f>
        <v>0</v>
      </c>
      <c r="DE144" s="75">
        <f t="shared" ref="DE144:DE165" si="266">T144-CI144</f>
        <v>0</v>
      </c>
      <c r="DF144" s="75"/>
      <c r="DG144" s="75">
        <f t="shared" ref="DG144:DG165" si="267">+V144-CK144</f>
        <v>0</v>
      </c>
      <c r="DH144" s="75">
        <f t="shared" ref="DH144:DH165" si="268">+W144-CL144</f>
        <v>0</v>
      </c>
      <c r="DI144" s="75"/>
      <c r="DJ144" s="75">
        <f t="shared" ref="DJ144:DJ165" si="269">Y144-CN144</f>
        <v>0</v>
      </c>
      <c r="DK144" s="75">
        <f t="shared" ref="DK144:DK165" si="270">Z144-CO144</f>
        <v>0</v>
      </c>
      <c r="DL144" s="75">
        <f t="shared" ref="DL144:DL165" si="271">AA144-CP144</f>
        <v>0</v>
      </c>
      <c r="DM144" s="75">
        <f t="shared" ref="DM144:DM165" si="272">+AB144-CQ144</f>
        <v>0</v>
      </c>
      <c r="DN144" s="75">
        <f t="shared" ref="DN144:DN165" si="273">+AC144-CR144</f>
        <v>0</v>
      </c>
      <c r="DO144" s="75">
        <f t="shared" ref="DO144:DO165" si="274">+AD144-CS144</f>
        <v>0</v>
      </c>
      <c r="DP144" s="75">
        <f t="shared" ref="DP144:DP165" si="275">+AE144-CT144</f>
        <v>0</v>
      </c>
      <c r="DQ144" s="75"/>
      <c r="DR144" s="75">
        <f t="shared" ref="DR144:DR165" si="276">+AG144-CV144</f>
        <v>0</v>
      </c>
    </row>
    <row r="145" spans="1:122" ht="33" customHeight="1" x14ac:dyDescent="0.25">
      <c r="A145" s="246"/>
      <c r="B145" s="85"/>
      <c r="C145" s="86" t="s">
        <v>112</v>
      </c>
      <c r="D145" s="81" t="s">
        <v>111</v>
      </c>
      <c r="E145" s="80">
        <v>211</v>
      </c>
      <c r="F145" s="78" t="s">
        <v>12</v>
      </c>
      <c r="G145" s="228"/>
      <c r="H145" s="79">
        <f t="shared" si="204"/>
        <v>48956036</v>
      </c>
      <c r="I145" s="79">
        <f t="shared" si="205"/>
        <v>60887622</v>
      </c>
      <c r="J145" s="78"/>
      <c r="K145" s="78"/>
      <c r="L145" s="78"/>
      <c r="M145" s="75">
        <f t="shared" si="206"/>
        <v>109843658</v>
      </c>
      <c r="N145" s="75"/>
      <c r="O145" s="75"/>
      <c r="P145" s="75"/>
      <c r="Q145" s="75">
        <f>498457340+300000000-790156342</f>
        <v>8300998</v>
      </c>
      <c r="R145" s="75"/>
      <c r="S145" s="75"/>
      <c r="T145" s="75"/>
      <c r="U145" s="75"/>
      <c r="V145" s="75"/>
      <c r="W145" s="75"/>
      <c r="X145" s="75"/>
      <c r="Y145" s="75">
        <v>101542660</v>
      </c>
      <c r="Z145" s="75"/>
      <c r="AA145" s="75"/>
      <c r="AB145" s="75"/>
      <c r="AC145" s="75"/>
      <c r="AD145" s="75"/>
      <c r="AE145" s="75"/>
      <c r="AF145" s="75"/>
      <c r="AG145" s="75"/>
      <c r="AI145" s="25">
        <f t="shared" si="242"/>
        <v>0.4456883254925833</v>
      </c>
      <c r="AJ145" s="75">
        <f t="shared" si="207"/>
        <v>48956036</v>
      </c>
      <c r="AK145" s="75"/>
      <c r="AL145" s="75"/>
      <c r="AM145" s="75"/>
      <c r="AN145" s="75">
        <f>+'[6]JUNIO 2015'!$M$180</f>
        <v>8300998</v>
      </c>
      <c r="AO145" s="75"/>
      <c r="AP145" s="75"/>
      <c r="AQ145" s="75"/>
      <c r="AR145" s="75"/>
      <c r="AS145" s="75"/>
      <c r="AT145" s="75"/>
      <c r="AU145" s="75"/>
      <c r="AV145" s="75">
        <f>+'[6]JUNIO 2015'!$U$180</f>
        <v>40655038</v>
      </c>
      <c r="AW145" s="75"/>
      <c r="AX145" s="75"/>
      <c r="AY145" s="75"/>
      <c r="AZ145" s="75"/>
      <c r="BA145" s="75"/>
      <c r="BB145" s="75"/>
      <c r="BC145" s="75"/>
      <c r="BD145" s="75"/>
      <c r="BE145" s="25">
        <f t="shared" si="243"/>
        <v>0.5543116745074167</v>
      </c>
      <c r="BF145" s="75">
        <f t="shared" si="208"/>
        <v>60887622</v>
      </c>
      <c r="BG145" s="75">
        <f t="shared" si="248"/>
        <v>0</v>
      </c>
      <c r="BH145" s="75">
        <f t="shared" si="249"/>
        <v>0</v>
      </c>
      <c r="BI145" s="75"/>
      <c r="BJ145" s="75">
        <f t="shared" si="246"/>
        <v>0</v>
      </c>
      <c r="BK145" s="75">
        <f t="shared" si="250"/>
        <v>0</v>
      </c>
      <c r="BL145" s="75">
        <f t="shared" si="251"/>
        <v>0</v>
      </c>
      <c r="BM145" s="75">
        <f t="shared" si="252"/>
        <v>0</v>
      </c>
      <c r="BN145" s="75"/>
      <c r="BO145" s="75">
        <f t="shared" si="253"/>
        <v>0</v>
      </c>
      <c r="BP145" s="75">
        <f t="shared" si="254"/>
        <v>0</v>
      </c>
      <c r="BQ145" s="75">
        <f t="shared" si="255"/>
        <v>0</v>
      </c>
      <c r="BR145" s="75">
        <f t="shared" si="256"/>
        <v>60887622</v>
      </c>
      <c r="BS145" s="75">
        <f t="shared" si="257"/>
        <v>0</v>
      </c>
      <c r="BT145" s="75">
        <f t="shared" si="258"/>
        <v>0</v>
      </c>
      <c r="BU145" s="75">
        <f t="shared" si="259"/>
        <v>0</v>
      </c>
      <c r="BV145" s="75">
        <f t="shared" si="260"/>
        <v>0</v>
      </c>
      <c r="BW145" s="75">
        <f t="shared" si="261"/>
        <v>0</v>
      </c>
      <c r="BX145" s="75"/>
      <c r="BY145" s="75">
        <f t="shared" si="262"/>
        <v>0</v>
      </c>
      <c r="BZ145" s="75">
        <f t="shared" si="263"/>
        <v>0</v>
      </c>
      <c r="CA145" s="25">
        <f t="shared" si="244"/>
        <v>0.4456883254925833</v>
      </c>
      <c r="CB145" s="75">
        <f t="shared" si="225"/>
        <v>48956036</v>
      </c>
      <c r="CC145" s="75"/>
      <c r="CD145" s="75"/>
      <c r="CE145" s="75"/>
      <c r="CF145" s="75">
        <f>+'[3]ABRIL 2015'!$H$166</f>
        <v>8300998</v>
      </c>
      <c r="CG145" s="75"/>
      <c r="CH145" s="75"/>
      <c r="CI145" s="75"/>
      <c r="CJ145" s="75"/>
      <c r="CK145" s="75"/>
      <c r="CL145" s="75"/>
      <c r="CM145" s="75"/>
      <c r="CN145" s="75">
        <f>8301038+32354000</f>
        <v>40655038</v>
      </c>
      <c r="CO145" s="75"/>
      <c r="CP145" s="75"/>
      <c r="CQ145" s="75"/>
      <c r="CR145" s="75"/>
      <c r="CS145" s="75"/>
      <c r="CT145" s="75"/>
      <c r="CU145" s="75"/>
      <c r="CV145" s="75"/>
      <c r="CW145" s="25">
        <f t="shared" si="245"/>
        <v>0.5543116745074167</v>
      </c>
      <c r="CX145" s="75">
        <f t="shared" si="226"/>
        <v>60887622</v>
      </c>
      <c r="CY145" s="75"/>
      <c r="CZ145" s="75"/>
      <c r="DA145" s="75"/>
      <c r="DB145" s="75">
        <f t="shared" si="247"/>
        <v>0</v>
      </c>
      <c r="DC145" s="75">
        <f t="shared" si="264"/>
        <v>0</v>
      </c>
      <c r="DD145" s="75">
        <f t="shared" si="265"/>
        <v>0</v>
      </c>
      <c r="DE145" s="75">
        <f t="shared" si="266"/>
        <v>0</v>
      </c>
      <c r="DF145" s="75"/>
      <c r="DG145" s="75">
        <f t="shared" si="267"/>
        <v>0</v>
      </c>
      <c r="DH145" s="75">
        <f t="shared" si="268"/>
        <v>0</v>
      </c>
      <c r="DI145" s="75"/>
      <c r="DJ145" s="75">
        <f t="shared" si="269"/>
        <v>60887622</v>
      </c>
      <c r="DK145" s="75">
        <f t="shared" si="270"/>
        <v>0</v>
      </c>
      <c r="DL145" s="75">
        <f t="shared" si="271"/>
        <v>0</v>
      </c>
      <c r="DM145" s="75">
        <f t="shared" si="272"/>
        <v>0</v>
      </c>
      <c r="DN145" s="75">
        <f t="shared" si="273"/>
        <v>0</v>
      </c>
      <c r="DO145" s="75">
        <f t="shared" si="274"/>
        <v>0</v>
      </c>
      <c r="DP145" s="75">
        <f t="shared" si="275"/>
        <v>0</v>
      </c>
      <c r="DQ145" s="75"/>
      <c r="DR145" s="75">
        <f t="shared" si="276"/>
        <v>0</v>
      </c>
    </row>
    <row r="146" spans="1:122" ht="33" customHeight="1" x14ac:dyDescent="0.25">
      <c r="A146" s="246"/>
      <c r="B146" s="85"/>
      <c r="C146" s="86" t="s">
        <v>110</v>
      </c>
      <c r="D146" s="81" t="s">
        <v>109</v>
      </c>
      <c r="E146" s="80">
        <v>211</v>
      </c>
      <c r="F146" s="78" t="s">
        <v>12</v>
      </c>
      <c r="G146" s="228"/>
      <c r="H146" s="79">
        <f t="shared" si="204"/>
        <v>0</v>
      </c>
      <c r="I146" s="79">
        <f t="shared" si="205"/>
        <v>0</v>
      </c>
      <c r="J146" s="78"/>
      <c r="K146" s="78"/>
      <c r="L146" s="78"/>
      <c r="M146" s="75">
        <f t="shared" si="206"/>
        <v>0</v>
      </c>
      <c r="N146" s="45"/>
      <c r="O146" s="45"/>
      <c r="P146" s="45"/>
      <c r="Q146" s="75">
        <f>600000000-600000000</f>
        <v>0</v>
      </c>
      <c r="R146" s="45"/>
      <c r="S146" s="45"/>
      <c r="T146" s="75"/>
      <c r="U146" s="75"/>
      <c r="V146" s="75"/>
      <c r="W146" s="75"/>
      <c r="X146" s="75"/>
      <c r="Y146" s="75"/>
      <c r="Z146" s="75"/>
      <c r="AA146" s="24"/>
      <c r="AB146" s="24"/>
      <c r="AC146" s="24"/>
      <c r="AD146" s="24"/>
      <c r="AE146" s="24"/>
      <c r="AF146" s="24"/>
      <c r="AG146" s="75"/>
      <c r="AI146" s="25" t="e">
        <f t="shared" si="242"/>
        <v>#DIV/0!</v>
      </c>
      <c r="AJ146" s="75">
        <f t="shared" si="207"/>
        <v>0</v>
      </c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  <c r="AX146" s="75"/>
      <c r="AY146" s="75"/>
      <c r="AZ146" s="75"/>
      <c r="BA146" s="75"/>
      <c r="BB146" s="75"/>
      <c r="BC146" s="75"/>
      <c r="BD146" s="75"/>
      <c r="BE146" s="25" t="e">
        <f t="shared" si="243"/>
        <v>#DIV/0!</v>
      </c>
      <c r="BF146" s="75">
        <f t="shared" si="208"/>
        <v>0</v>
      </c>
      <c r="BG146" s="75">
        <f t="shared" si="248"/>
        <v>0</v>
      </c>
      <c r="BH146" s="75">
        <f t="shared" si="249"/>
        <v>0</v>
      </c>
      <c r="BI146" s="75"/>
      <c r="BJ146" s="75">
        <f t="shared" si="246"/>
        <v>0</v>
      </c>
      <c r="BK146" s="75">
        <f t="shared" si="250"/>
        <v>0</v>
      </c>
      <c r="BL146" s="75">
        <f t="shared" si="251"/>
        <v>0</v>
      </c>
      <c r="BM146" s="75">
        <f t="shared" si="252"/>
        <v>0</v>
      </c>
      <c r="BN146" s="75"/>
      <c r="BO146" s="75">
        <f t="shared" si="253"/>
        <v>0</v>
      </c>
      <c r="BP146" s="75">
        <f t="shared" si="254"/>
        <v>0</v>
      </c>
      <c r="BQ146" s="75">
        <f t="shared" si="255"/>
        <v>0</v>
      </c>
      <c r="BR146" s="75">
        <f t="shared" si="256"/>
        <v>0</v>
      </c>
      <c r="BS146" s="75">
        <f t="shared" si="257"/>
        <v>0</v>
      </c>
      <c r="BT146" s="75">
        <f t="shared" si="258"/>
        <v>0</v>
      </c>
      <c r="BU146" s="75">
        <f t="shared" si="259"/>
        <v>0</v>
      </c>
      <c r="BV146" s="75">
        <f t="shared" si="260"/>
        <v>0</v>
      </c>
      <c r="BW146" s="75">
        <f t="shared" si="261"/>
        <v>0</v>
      </c>
      <c r="BX146" s="75"/>
      <c r="BY146" s="75">
        <f t="shared" si="262"/>
        <v>0</v>
      </c>
      <c r="BZ146" s="75">
        <f t="shared" si="263"/>
        <v>0</v>
      </c>
      <c r="CA146" s="25" t="e">
        <f t="shared" si="244"/>
        <v>#DIV/0!</v>
      </c>
      <c r="CB146" s="75">
        <f t="shared" si="225"/>
        <v>0</v>
      </c>
      <c r="CC146" s="75"/>
      <c r="CD146" s="75"/>
      <c r="CE146" s="75"/>
      <c r="CF146" s="75"/>
      <c r="CG146" s="75"/>
      <c r="CH146" s="75"/>
      <c r="CI146" s="75"/>
      <c r="CJ146" s="75"/>
      <c r="CK146" s="75"/>
      <c r="CL146" s="75"/>
      <c r="CM146" s="75"/>
      <c r="CN146" s="75"/>
      <c r="CO146" s="75"/>
      <c r="CP146" s="75"/>
      <c r="CQ146" s="75"/>
      <c r="CR146" s="75"/>
      <c r="CS146" s="75"/>
      <c r="CT146" s="75"/>
      <c r="CU146" s="75"/>
      <c r="CV146" s="75"/>
      <c r="CW146" s="25" t="e">
        <f t="shared" si="245"/>
        <v>#DIV/0!</v>
      </c>
      <c r="CX146" s="75">
        <f t="shared" si="226"/>
        <v>0</v>
      </c>
      <c r="CY146" s="75"/>
      <c r="CZ146" s="75"/>
      <c r="DA146" s="75"/>
      <c r="DB146" s="75">
        <f t="shared" si="247"/>
        <v>0</v>
      </c>
      <c r="DC146" s="75">
        <f t="shared" si="264"/>
        <v>0</v>
      </c>
      <c r="DD146" s="75">
        <f t="shared" si="265"/>
        <v>0</v>
      </c>
      <c r="DE146" s="75">
        <f t="shared" si="266"/>
        <v>0</v>
      </c>
      <c r="DF146" s="75"/>
      <c r="DG146" s="75">
        <f t="shared" si="267"/>
        <v>0</v>
      </c>
      <c r="DH146" s="75">
        <f t="shared" si="268"/>
        <v>0</v>
      </c>
      <c r="DI146" s="75"/>
      <c r="DJ146" s="75">
        <f t="shared" si="269"/>
        <v>0</v>
      </c>
      <c r="DK146" s="75">
        <f t="shared" si="270"/>
        <v>0</v>
      </c>
      <c r="DL146" s="75">
        <f t="shared" si="271"/>
        <v>0</v>
      </c>
      <c r="DM146" s="75">
        <f t="shared" si="272"/>
        <v>0</v>
      </c>
      <c r="DN146" s="75">
        <f t="shared" si="273"/>
        <v>0</v>
      </c>
      <c r="DO146" s="75">
        <f t="shared" si="274"/>
        <v>0</v>
      </c>
      <c r="DP146" s="75">
        <f t="shared" si="275"/>
        <v>0</v>
      </c>
      <c r="DQ146" s="75">
        <f t="shared" ref="DQ146:DQ165" si="277">+AF146-CU146</f>
        <v>0</v>
      </c>
      <c r="DR146" s="75">
        <f t="shared" si="276"/>
        <v>0</v>
      </c>
    </row>
    <row r="147" spans="1:122" ht="35.25" customHeight="1" x14ac:dyDescent="0.25">
      <c r="A147" s="246"/>
      <c r="B147" s="85"/>
      <c r="C147" s="86" t="s">
        <v>108</v>
      </c>
      <c r="D147" s="81" t="s">
        <v>107</v>
      </c>
      <c r="E147" s="80">
        <v>211</v>
      </c>
      <c r="F147" s="78" t="s">
        <v>12</v>
      </c>
      <c r="G147" s="228"/>
      <c r="H147" s="79">
        <f t="shared" si="204"/>
        <v>372698968</v>
      </c>
      <c r="I147" s="79">
        <f t="shared" si="205"/>
        <v>2518133</v>
      </c>
      <c r="J147" s="78"/>
      <c r="K147" s="78"/>
      <c r="L147" s="78"/>
      <c r="M147" s="75">
        <f t="shared" si="206"/>
        <v>375217101</v>
      </c>
      <c r="N147" s="45"/>
      <c r="O147" s="45"/>
      <c r="P147" s="45"/>
      <c r="Q147" s="75">
        <f>1007000000-631782899</f>
        <v>375217101</v>
      </c>
      <c r="R147" s="45"/>
      <c r="S147" s="45"/>
      <c r="T147" s="75"/>
      <c r="U147" s="75"/>
      <c r="V147" s="75"/>
      <c r="W147" s="75"/>
      <c r="X147" s="75"/>
      <c r="Y147" s="75"/>
      <c r="Z147" s="75"/>
      <c r="AA147" s="24"/>
      <c r="AB147" s="24"/>
      <c r="AC147" s="24"/>
      <c r="AD147" s="24"/>
      <c r="AE147" s="24"/>
      <c r="AF147" s="24"/>
      <c r="AG147" s="75"/>
      <c r="AI147" s="25">
        <f t="shared" si="242"/>
        <v>0.99328886398490668</v>
      </c>
      <c r="AJ147" s="75">
        <f t="shared" si="207"/>
        <v>372698968</v>
      </c>
      <c r="AK147" s="75"/>
      <c r="AL147" s="75"/>
      <c r="AM147" s="75"/>
      <c r="AN147" s="75">
        <f>+'[2]JULIO 2015'!$M$208</f>
        <v>372698968</v>
      </c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25">
        <f t="shared" si="243"/>
        <v>6.7111360150933219E-3</v>
      </c>
      <c r="BF147" s="75">
        <f t="shared" si="208"/>
        <v>2518133</v>
      </c>
      <c r="BG147" s="75">
        <f t="shared" si="248"/>
        <v>0</v>
      </c>
      <c r="BH147" s="75">
        <f t="shared" si="249"/>
        <v>0</v>
      </c>
      <c r="BI147" s="75"/>
      <c r="BJ147" s="75">
        <f t="shared" si="246"/>
        <v>2518133</v>
      </c>
      <c r="BK147" s="75">
        <f t="shared" si="250"/>
        <v>0</v>
      </c>
      <c r="BL147" s="75">
        <f t="shared" si="251"/>
        <v>0</v>
      </c>
      <c r="BM147" s="75">
        <f t="shared" si="252"/>
        <v>0</v>
      </c>
      <c r="BN147" s="75"/>
      <c r="BO147" s="75">
        <f t="shared" si="253"/>
        <v>0</v>
      </c>
      <c r="BP147" s="75">
        <f t="shared" si="254"/>
        <v>0</v>
      </c>
      <c r="BQ147" s="75">
        <f t="shared" si="255"/>
        <v>0</v>
      </c>
      <c r="BR147" s="75">
        <f t="shared" si="256"/>
        <v>0</v>
      </c>
      <c r="BS147" s="75">
        <f t="shared" si="257"/>
        <v>0</v>
      </c>
      <c r="BT147" s="75">
        <f t="shared" si="258"/>
        <v>0</v>
      </c>
      <c r="BU147" s="75">
        <f t="shared" si="259"/>
        <v>0</v>
      </c>
      <c r="BV147" s="75">
        <f t="shared" si="260"/>
        <v>0</v>
      </c>
      <c r="BW147" s="75">
        <f t="shared" si="261"/>
        <v>0</v>
      </c>
      <c r="BX147" s="75"/>
      <c r="BY147" s="75">
        <f t="shared" si="262"/>
        <v>0</v>
      </c>
      <c r="BZ147" s="75">
        <f t="shared" si="263"/>
        <v>0</v>
      </c>
      <c r="CA147" s="25">
        <f t="shared" si="244"/>
        <v>0.99328886398490668</v>
      </c>
      <c r="CB147" s="75">
        <f t="shared" si="225"/>
        <v>372698968</v>
      </c>
      <c r="CC147" s="75"/>
      <c r="CD147" s="75"/>
      <c r="CE147" s="75"/>
      <c r="CF147" s="75">
        <f>+'[1]AGOSTO 2015'!$H$214</f>
        <v>372698968</v>
      </c>
      <c r="CG147" s="75"/>
      <c r="CH147" s="75"/>
      <c r="CI147" s="75"/>
      <c r="CJ147" s="75"/>
      <c r="CK147" s="75"/>
      <c r="CL147" s="75"/>
      <c r="CM147" s="75"/>
      <c r="CN147" s="75"/>
      <c r="CO147" s="75"/>
      <c r="CP147" s="75"/>
      <c r="CQ147" s="75"/>
      <c r="CR147" s="75"/>
      <c r="CS147" s="75"/>
      <c r="CT147" s="75"/>
      <c r="CU147" s="75"/>
      <c r="CV147" s="75"/>
      <c r="CW147" s="25">
        <f t="shared" si="245"/>
        <v>6.7111360150933219E-3</v>
      </c>
      <c r="CX147" s="75">
        <f t="shared" si="226"/>
        <v>2518133</v>
      </c>
      <c r="CY147" s="75"/>
      <c r="CZ147" s="75"/>
      <c r="DA147" s="75"/>
      <c r="DB147" s="75">
        <f t="shared" si="247"/>
        <v>2518133</v>
      </c>
      <c r="DC147" s="75">
        <f t="shared" si="264"/>
        <v>0</v>
      </c>
      <c r="DD147" s="75">
        <f t="shared" si="265"/>
        <v>0</v>
      </c>
      <c r="DE147" s="75">
        <f t="shared" si="266"/>
        <v>0</v>
      </c>
      <c r="DF147" s="75"/>
      <c r="DG147" s="75">
        <f t="shared" si="267"/>
        <v>0</v>
      </c>
      <c r="DH147" s="75">
        <f t="shared" si="268"/>
        <v>0</v>
      </c>
      <c r="DI147" s="75"/>
      <c r="DJ147" s="75">
        <f t="shared" si="269"/>
        <v>0</v>
      </c>
      <c r="DK147" s="75">
        <f t="shared" si="270"/>
        <v>0</v>
      </c>
      <c r="DL147" s="75">
        <f t="shared" si="271"/>
        <v>0</v>
      </c>
      <c r="DM147" s="75">
        <f t="shared" si="272"/>
        <v>0</v>
      </c>
      <c r="DN147" s="75">
        <f t="shared" si="273"/>
        <v>0</v>
      </c>
      <c r="DO147" s="75">
        <f t="shared" si="274"/>
        <v>0</v>
      </c>
      <c r="DP147" s="75">
        <f t="shared" si="275"/>
        <v>0</v>
      </c>
      <c r="DQ147" s="75">
        <f t="shared" si="277"/>
        <v>0</v>
      </c>
      <c r="DR147" s="75">
        <f t="shared" si="276"/>
        <v>0</v>
      </c>
    </row>
    <row r="148" spans="1:122" ht="49.5" customHeight="1" x14ac:dyDescent="0.25">
      <c r="A148" s="246"/>
      <c r="B148" s="85"/>
      <c r="C148" s="86" t="s">
        <v>106</v>
      </c>
      <c r="D148" s="81" t="s">
        <v>105</v>
      </c>
      <c r="E148" s="80">
        <v>211</v>
      </c>
      <c r="F148" s="78" t="s">
        <v>12</v>
      </c>
      <c r="G148" s="228"/>
      <c r="H148" s="79">
        <f t="shared" si="204"/>
        <v>244800000</v>
      </c>
      <c r="I148" s="79">
        <f t="shared" si="205"/>
        <v>0</v>
      </c>
      <c r="J148" s="78"/>
      <c r="K148" s="78"/>
      <c r="L148" s="78"/>
      <c r="M148" s="75">
        <f t="shared" si="206"/>
        <v>244800000</v>
      </c>
      <c r="N148" s="45"/>
      <c r="O148" s="45"/>
      <c r="P148" s="45"/>
      <c r="Q148" s="75">
        <f>2000000000-1755200000</f>
        <v>244800000</v>
      </c>
      <c r="R148" s="45"/>
      <c r="S148" s="45"/>
      <c r="T148" s="75"/>
      <c r="U148" s="75"/>
      <c r="V148" s="75"/>
      <c r="W148" s="75"/>
      <c r="X148" s="75"/>
      <c r="Y148" s="75"/>
      <c r="Z148" s="75"/>
      <c r="AA148" s="24"/>
      <c r="AB148" s="24"/>
      <c r="AC148" s="24"/>
      <c r="AD148" s="24"/>
      <c r="AE148" s="24"/>
      <c r="AF148" s="24"/>
      <c r="AG148" s="75"/>
      <c r="AI148" s="25">
        <f t="shared" si="242"/>
        <v>1</v>
      </c>
      <c r="AJ148" s="75">
        <f t="shared" si="207"/>
        <v>244800000</v>
      </c>
      <c r="AK148" s="75"/>
      <c r="AL148" s="75"/>
      <c r="AM148" s="75"/>
      <c r="AN148" s="75">
        <f>+'[3]ABRIL 2015'!$G$182</f>
        <v>244800000</v>
      </c>
      <c r="AO148" s="75"/>
      <c r="AP148" s="75"/>
      <c r="AQ148" s="75"/>
      <c r="AR148" s="75"/>
      <c r="AS148" s="75"/>
      <c r="AT148" s="75"/>
      <c r="AU148" s="75"/>
      <c r="AV148" s="75"/>
      <c r="AW148" s="75"/>
      <c r="AX148" s="75"/>
      <c r="AY148" s="75"/>
      <c r="AZ148" s="75"/>
      <c r="BA148" s="75"/>
      <c r="BB148" s="75"/>
      <c r="BC148" s="75"/>
      <c r="BD148" s="75"/>
      <c r="BE148" s="25">
        <f t="shared" si="243"/>
        <v>0</v>
      </c>
      <c r="BF148" s="75">
        <f t="shared" si="208"/>
        <v>0</v>
      </c>
      <c r="BG148" s="75">
        <f t="shared" si="248"/>
        <v>0</v>
      </c>
      <c r="BH148" s="75">
        <f t="shared" si="249"/>
        <v>0</v>
      </c>
      <c r="BI148" s="75"/>
      <c r="BJ148" s="75">
        <f t="shared" si="246"/>
        <v>0</v>
      </c>
      <c r="BK148" s="75">
        <f t="shared" si="250"/>
        <v>0</v>
      </c>
      <c r="BL148" s="75">
        <f t="shared" si="251"/>
        <v>0</v>
      </c>
      <c r="BM148" s="75">
        <f t="shared" si="252"/>
        <v>0</v>
      </c>
      <c r="BN148" s="75"/>
      <c r="BO148" s="75">
        <f t="shared" si="253"/>
        <v>0</v>
      </c>
      <c r="BP148" s="75">
        <f t="shared" si="254"/>
        <v>0</v>
      </c>
      <c r="BQ148" s="75">
        <f t="shared" si="255"/>
        <v>0</v>
      </c>
      <c r="BR148" s="75">
        <f t="shared" si="256"/>
        <v>0</v>
      </c>
      <c r="BS148" s="75">
        <f t="shared" si="257"/>
        <v>0</v>
      </c>
      <c r="BT148" s="75">
        <f t="shared" si="258"/>
        <v>0</v>
      </c>
      <c r="BU148" s="75">
        <f t="shared" si="259"/>
        <v>0</v>
      </c>
      <c r="BV148" s="75">
        <f t="shared" si="260"/>
        <v>0</v>
      </c>
      <c r="BW148" s="75">
        <f t="shared" si="261"/>
        <v>0</v>
      </c>
      <c r="BX148" s="75"/>
      <c r="BY148" s="75">
        <f t="shared" si="262"/>
        <v>0</v>
      </c>
      <c r="BZ148" s="75">
        <f t="shared" si="263"/>
        <v>0</v>
      </c>
      <c r="CA148" s="25">
        <f t="shared" si="244"/>
        <v>1</v>
      </c>
      <c r="CB148" s="75">
        <f t="shared" si="225"/>
        <v>244800000</v>
      </c>
      <c r="CC148" s="75"/>
      <c r="CD148" s="75"/>
      <c r="CE148" s="75"/>
      <c r="CF148" s="75">
        <v>244800000</v>
      </c>
      <c r="CG148" s="75"/>
      <c r="CH148" s="75"/>
      <c r="CI148" s="75"/>
      <c r="CJ148" s="75"/>
      <c r="CK148" s="75"/>
      <c r="CL148" s="75"/>
      <c r="CM148" s="75"/>
      <c r="CN148" s="75"/>
      <c r="CO148" s="75"/>
      <c r="CP148" s="75"/>
      <c r="CQ148" s="75"/>
      <c r="CR148" s="75"/>
      <c r="CS148" s="75"/>
      <c r="CT148" s="75"/>
      <c r="CU148" s="75"/>
      <c r="CV148" s="75"/>
      <c r="CW148" s="25">
        <f t="shared" si="245"/>
        <v>0</v>
      </c>
      <c r="CX148" s="75">
        <f t="shared" si="226"/>
        <v>0</v>
      </c>
      <c r="CY148" s="75"/>
      <c r="CZ148" s="75"/>
      <c r="DA148" s="75"/>
      <c r="DB148" s="75">
        <f t="shared" si="247"/>
        <v>0</v>
      </c>
      <c r="DC148" s="75">
        <f t="shared" si="264"/>
        <v>0</v>
      </c>
      <c r="DD148" s="75">
        <f t="shared" si="265"/>
        <v>0</v>
      </c>
      <c r="DE148" s="75">
        <f t="shared" si="266"/>
        <v>0</v>
      </c>
      <c r="DF148" s="75"/>
      <c r="DG148" s="75">
        <f t="shared" si="267"/>
        <v>0</v>
      </c>
      <c r="DH148" s="75">
        <f t="shared" si="268"/>
        <v>0</v>
      </c>
      <c r="DI148" s="75"/>
      <c r="DJ148" s="75">
        <f t="shared" si="269"/>
        <v>0</v>
      </c>
      <c r="DK148" s="75">
        <f t="shared" si="270"/>
        <v>0</v>
      </c>
      <c r="DL148" s="75">
        <f t="shared" si="271"/>
        <v>0</v>
      </c>
      <c r="DM148" s="75">
        <f t="shared" si="272"/>
        <v>0</v>
      </c>
      <c r="DN148" s="75">
        <f t="shared" si="273"/>
        <v>0</v>
      </c>
      <c r="DO148" s="75">
        <f t="shared" si="274"/>
        <v>0</v>
      </c>
      <c r="DP148" s="75">
        <f t="shared" si="275"/>
        <v>0</v>
      </c>
      <c r="DQ148" s="75">
        <f t="shared" si="277"/>
        <v>0</v>
      </c>
      <c r="DR148" s="75">
        <f t="shared" si="276"/>
        <v>0</v>
      </c>
    </row>
    <row r="149" spans="1:122" ht="22.5" customHeight="1" x14ac:dyDescent="0.25">
      <c r="A149" s="246"/>
      <c r="B149" s="85"/>
      <c r="C149" s="86" t="s">
        <v>104</v>
      </c>
      <c r="D149" s="81" t="s">
        <v>103</v>
      </c>
      <c r="E149" s="80">
        <v>211</v>
      </c>
      <c r="F149" s="78" t="s">
        <v>12</v>
      </c>
      <c r="G149" s="228"/>
      <c r="H149" s="79">
        <f t="shared" si="204"/>
        <v>96000000</v>
      </c>
      <c r="I149" s="79">
        <f t="shared" si="205"/>
        <v>250985280</v>
      </c>
      <c r="J149" s="78"/>
      <c r="K149" s="78"/>
      <c r="L149" s="78"/>
      <c r="M149" s="75">
        <f t="shared" si="206"/>
        <v>346985280</v>
      </c>
      <c r="N149" s="45"/>
      <c r="O149" s="45"/>
      <c r="P149" s="45"/>
      <c r="Q149" s="75">
        <f>178840000+200000000-72884540+72884540-31854720</f>
        <v>346985280</v>
      </c>
      <c r="R149" s="75">
        <f>72884540-72884540</f>
        <v>0</v>
      </c>
      <c r="S149" s="45"/>
      <c r="T149" s="75"/>
      <c r="U149" s="75"/>
      <c r="V149" s="75"/>
      <c r="W149" s="75"/>
      <c r="X149" s="75"/>
      <c r="Y149" s="75"/>
      <c r="Z149" s="75"/>
      <c r="AA149" s="24"/>
      <c r="AB149" s="24"/>
      <c r="AC149" s="24"/>
      <c r="AD149" s="24"/>
      <c r="AE149" s="24"/>
      <c r="AF149" s="24"/>
      <c r="AG149" s="75"/>
      <c r="AI149" s="25">
        <f t="shared" si="242"/>
        <v>0.27666879701640368</v>
      </c>
      <c r="AJ149" s="75">
        <f t="shared" si="207"/>
        <v>96000000</v>
      </c>
      <c r="AK149" s="75"/>
      <c r="AL149" s="75"/>
      <c r="AM149" s="75"/>
      <c r="AN149" s="75">
        <f>+'[1]AGOSTO 2015'!$M$233</f>
        <v>96000000</v>
      </c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  <c r="AY149" s="75"/>
      <c r="AZ149" s="75"/>
      <c r="BA149" s="75"/>
      <c r="BB149" s="75"/>
      <c r="BC149" s="75"/>
      <c r="BD149" s="75"/>
      <c r="BE149" s="25">
        <f t="shared" si="243"/>
        <v>0.72333120298359632</v>
      </c>
      <c r="BF149" s="75">
        <f t="shared" si="208"/>
        <v>250985280</v>
      </c>
      <c r="BG149" s="75">
        <f t="shared" si="248"/>
        <v>0</v>
      </c>
      <c r="BH149" s="75">
        <f t="shared" si="249"/>
        <v>0</v>
      </c>
      <c r="BI149" s="75"/>
      <c r="BJ149" s="75">
        <f t="shared" si="246"/>
        <v>250985280</v>
      </c>
      <c r="BK149" s="75">
        <f t="shared" si="250"/>
        <v>0</v>
      </c>
      <c r="BL149" s="75">
        <f t="shared" si="251"/>
        <v>0</v>
      </c>
      <c r="BM149" s="75">
        <f t="shared" si="252"/>
        <v>0</v>
      </c>
      <c r="BN149" s="75"/>
      <c r="BO149" s="75">
        <f t="shared" si="253"/>
        <v>0</v>
      </c>
      <c r="BP149" s="75">
        <f t="shared" si="254"/>
        <v>0</v>
      </c>
      <c r="BQ149" s="75">
        <f t="shared" si="255"/>
        <v>0</v>
      </c>
      <c r="BR149" s="75">
        <f t="shared" si="256"/>
        <v>0</v>
      </c>
      <c r="BS149" s="75">
        <f t="shared" si="257"/>
        <v>0</v>
      </c>
      <c r="BT149" s="75">
        <f t="shared" si="258"/>
        <v>0</v>
      </c>
      <c r="BU149" s="75">
        <f t="shared" si="259"/>
        <v>0</v>
      </c>
      <c r="BV149" s="75">
        <f t="shared" si="260"/>
        <v>0</v>
      </c>
      <c r="BW149" s="75">
        <f t="shared" si="261"/>
        <v>0</v>
      </c>
      <c r="BX149" s="75"/>
      <c r="BY149" s="75">
        <f t="shared" si="262"/>
        <v>0</v>
      </c>
      <c r="BZ149" s="75">
        <f t="shared" si="263"/>
        <v>0</v>
      </c>
      <c r="CA149" s="25">
        <f t="shared" si="244"/>
        <v>0.27666879701640368</v>
      </c>
      <c r="CB149" s="75">
        <f t="shared" si="225"/>
        <v>96000000</v>
      </c>
      <c r="CC149" s="75"/>
      <c r="CD149" s="75"/>
      <c r="CE149" s="75"/>
      <c r="CF149" s="75">
        <f>+'[1]AGOSTO 2015'!$H$231</f>
        <v>96000000</v>
      </c>
      <c r="CG149" s="75"/>
      <c r="CH149" s="75"/>
      <c r="CI149" s="75"/>
      <c r="CJ149" s="75"/>
      <c r="CK149" s="75"/>
      <c r="CL149" s="75"/>
      <c r="CM149" s="75"/>
      <c r="CN149" s="75"/>
      <c r="CO149" s="75"/>
      <c r="CP149" s="75"/>
      <c r="CQ149" s="75"/>
      <c r="CR149" s="75"/>
      <c r="CS149" s="75"/>
      <c r="CT149" s="75"/>
      <c r="CU149" s="75"/>
      <c r="CV149" s="75"/>
      <c r="CW149" s="25">
        <f t="shared" si="245"/>
        <v>0.72333120298359632</v>
      </c>
      <c r="CX149" s="75">
        <f t="shared" si="226"/>
        <v>250985280</v>
      </c>
      <c r="CY149" s="75"/>
      <c r="CZ149" s="75"/>
      <c r="DA149" s="75"/>
      <c r="DB149" s="75">
        <f t="shared" si="247"/>
        <v>250985280</v>
      </c>
      <c r="DC149" s="75">
        <f t="shared" si="264"/>
        <v>0</v>
      </c>
      <c r="DD149" s="75">
        <f t="shared" si="265"/>
        <v>0</v>
      </c>
      <c r="DE149" s="75">
        <f t="shared" si="266"/>
        <v>0</v>
      </c>
      <c r="DF149" s="75"/>
      <c r="DG149" s="75">
        <f t="shared" si="267"/>
        <v>0</v>
      </c>
      <c r="DH149" s="75">
        <f t="shared" si="268"/>
        <v>0</v>
      </c>
      <c r="DI149" s="75"/>
      <c r="DJ149" s="75">
        <f t="shared" si="269"/>
        <v>0</v>
      </c>
      <c r="DK149" s="75">
        <f t="shared" si="270"/>
        <v>0</v>
      </c>
      <c r="DL149" s="75">
        <f t="shared" si="271"/>
        <v>0</v>
      </c>
      <c r="DM149" s="75">
        <f t="shared" si="272"/>
        <v>0</v>
      </c>
      <c r="DN149" s="75">
        <f t="shared" si="273"/>
        <v>0</v>
      </c>
      <c r="DO149" s="75">
        <f t="shared" si="274"/>
        <v>0</v>
      </c>
      <c r="DP149" s="75">
        <f t="shared" si="275"/>
        <v>0</v>
      </c>
      <c r="DQ149" s="75">
        <f t="shared" si="277"/>
        <v>0</v>
      </c>
      <c r="DR149" s="75">
        <f t="shared" si="276"/>
        <v>0</v>
      </c>
    </row>
    <row r="150" spans="1:122" ht="45.75" customHeight="1" x14ac:dyDescent="0.25">
      <c r="A150" s="246"/>
      <c r="B150" s="85"/>
      <c r="C150" s="86" t="s">
        <v>102</v>
      </c>
      <c r="D150" s="88" t="s">
        <v>101</v>
      </c>
      <c r="E150" s="80">
        <v>211</v>
      </c>
      <c r="F150" s="87" t="s">
        <v>12</v>
      </c>
      <c r="G150" s="228"/>
      <c r="H150" s="79">
        <f t="shared" si="204"/>
        <v>186695</v>
      </c>
      <c r="I150" s="79">
        <f t="shared" si="205"/>
        <v>39813305</v>
      </c>
      <c r="J150" s="87"/>
      <c r="K150" s="87"/>
      <c r="L150" s="87"/>
      <c r="M150" s="75">
        <f t="shared" si="206"/>
        <v>40000000</v>
      </c>
      <c r="N150" s="45"/>
      <c r="O150" s="45"/>
      <c r="P150" s="45"/>
      <c r="Q150" s="75">
        <f>90000000+500000000-250000000-300000000</f>
        <v>40000000</v>
      </c>
      <c r="R150" s="45"/>
      <c r="S150" s="45"/>
      <c r="T150" s="75"/>
      <c r="U150" s="75"/>
      <c r="V150" s="75"/>
      <c r="W150" s="75"/>
      <c r="X150" s="75"/>
      <c r="Y150" s="75"/>
      <c r="Z150" s="75"/>
      <c r="AA150" s="24"/>
      <c r="AB150" s="24"/>
      <c r="AC150" s="24"/>
      <c r="AD150" s="24"/>
      <c r="AE150" s="24"/>
      <c r="AF150" s="24"/>
      <c r="AG150" s="75"/>
      <c r="AI150" s="25">
        <f t="shared" si="242"/>
        <v>2.325E-2</v>
      </c>
      <c r="AJ150" s="75">
        <f t="shared" si="207"/>
        <v>930000</v>
      </c>
      <c r="AK150" s="75"/>
      <c r="AL150" s="75"/>
      <c r="AM150" s="75"/>
      <c r="AN150" s="75">
        <f>+'[6]JUNIO 2015'!$M$212</f>
        <v>930000</v>
      </c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  <c r="AY150" s="75"/>
      <c r="AZ150" s="75"/>
      <c r="BA150" s="75"/>
      <c r="BB150" s="75"/>
      <c r="BC150" s="75"/>
      <c r="BD150" s="75"/>
      <c r="BE150" s="25">
        <f t="shared" si="243"/>
        <v>0.97675000000000001</v>
      </c>
      <c r="BF150" s="75">
        <f t="shared" si="208"/>
        <v>39070000</v>
      </c>
      <c r="BG150" s="75">
        <f t="shared" si="248"/>
        <v>0</v>
      </c>
      <c r="BH150" s="75">
        <f t="shared" si="249"/>
        <v>0</v>
      </c>
      <c r="BI150" s="75"/>
      <c r="BJ150" s="75">
        <f t="shared" si="246"/>
        <v>39070000</v>
      </c>
      <c r="BK150" s="75">
        <f t="shared" si="250"/>
        <v>0</v>
      </c>
      <c r="BL150" s="75">
        <f t="shared" si="251"/>
        <v>0</v>
      </c>
      <c r="BM150" s="75">
        <f t="shared" si="252"/>
        <v>0</v>
      </c>
      <c r="BN150" s="75"/>
      <c r="BO150" s="75">
        <f t="shared" si="253"/>
        <v>0</v>
      </c>
      <c r="BP150" s="75">
        <f t="shared" si="254"/>
        <v>0</v>
      </c>
      <c r="BQ150" s="75">
        <f t="shared" si="255"/>
        <v>0</v>
      </c>
      <c r="BR150" s="75">
        <f t="shared" si="256"/>
        <v>0</v>
      </c>
      <c r="BS150" s="75">
        <f t="shared" si="257"/>
        <v>0</v>
      </c>
      <c r="BT150" s="75">
        <f t="shared" si="258"/>
        <v>0</v>
      </c>
      <c r="BU150" s="75">
        <f t="shared" si="259"/>
        <v>0</v>
      </c>
      <c r="BV150" s="75">
        <f t="shared" si="260"/>
        <v>0</v>
      </c>
      <c r="BW150" s="75">
        <f t="shared" si="261"/>
        <v>0</v>
      </c>
      <c r="BX150" s="75"/>
      <c r="BY150" s="75">
        <f t="shared" si="262"/>
        <v>0</v>
      </c>
      <c r="BZ150" s="75">
        <f t="shared" si="263"/>
        <v>0</v>
      </c>
      <c r="CA150" s="25">
        <f t="shared" si="244"/>
        <v>4.6673749999999996E-3</v>
      </c>
      <c r="CB150" s="75">
        <f t="shared" si="225"/>
        <v>186695</v>
      </c>
      <c r="CC150" s="75"/>
      <c r="CD150" s="75"/>
      <c r="CE150" s="75"/>
      <c r="CF150" s="75">
        <f>+'[6]JUNIO 2015'!$H$210</f>
        <v>186695</v>
      </c>
      <c r="CG150" s="75"/>
      <c r="CH150" s="75"/>
      <c r="CI150" s="75"/>
      <c r="CJ150" s="75"/>
      <c r="CK150" s="75"/>
      <c r="CL150" s="75"/>
      <c r="CM150" s="75"/>
      <c r="CN150" s="75"/>
      <c r="CO150" s="75"/>
      <c r="CP150" s="75"/>
      <c r="CQ150" s="75"/>
      <c r="CR150" s="75"/>
      <c r="CS150" s="75"/>
      <c r="CT150" s="75"/>
      <c r="CU150" s="75"/>
      <c r="CV150" s="75"/>
      <c r="CW150" s="25">
        <f t="shared" si="245"/>
        <v>0.99533262499999997</v>
      </c>
      <c r="CX150" s="75">
        <f t="shared" si="226"/>
        <v>39813305</v>
      </c>
      <c r="CY150" s="75"/>
      <c r="CZ150" s="75"/>
      <c r="DA150" s="75"/>
      <c r="DB150" s="75">
        <f t="shared" si="247"/>
        <v>39813305</v>
      </c>
      <c r="DC150" s="75">
        <f t="shared" si="264"/>
        <v>0</v>
      </c>
      <c r="DD150" s="75">
        <f t="shared" si="265"/>
        <v>0</v>
      </c>
      <c r="DE150" s="75">
        <f t="shared" si="266"/>
        <v>0</v>
      </c>
      <c r="DF150" s="75"/>
      <c r="DG150" s="75">
        <f t="shared" si="267"/>
        <v>0</v>
      </c>
      <c r="DH150" s="75">
        <f t="shared" si="268"/>
        <v>0</v>
      </c>
      <c r="DI150" s="75"/>
      <c r="DJ150" s="75">
        <f t="shared" si="269"/>
        <v>0</v>
      </c>
      <c r="DK150" s="75">
        <f t="shared" si="270"/>
        <v>0</v>
      </c>
      <c r="DL150" s="75">
        <f t="shared" si="271"/>
        <v>0</v>
      </c>
      <c r="DM150" s="75">
        <f t="shared" si="272"/>
        <v>0</v>
      </c>
      <c r="DN150" s="75">
        <f t="shared" si="273"/>
        <v>0</v>
      </c>
      <c r="DO150" s="75">
        <f t="shared" si="274"/>
        <v>0</v>
      </c>
      <c r="DP150" s="75">
        <f t="shared" si="275"/>
        <v>0</v>
      </c>
      <c r="DQ150" s="75">
        <f t="shared" si="277"/>
        <v>0</v>
      </c>
      <c r="DR150" s="75">
        <f t="shared" si="276"/>
        <v>0</v>
      </c>
    </row>
    <row r="151" spans="1:122" ht="35.25" customHeight="1" x14ac:dyDescent="0.25">
      <c r="A151" s="246"/>
      <c r="B151" s="85"/>
      <c r="C151" s="86" t="s">
        <v>100</v>
      </c>
      <c r="D151" s="81" t="s">
        <v>99</v>
      </c>
      <c r="E151" s="80">
        <v>211</v>
      </c>
      <c r="F151" s="78" t="s">
        <v>12</v>
      </c>
      <c r="G151" s="228"/>
      <c r="H151" s="79">
        <f t="shared" si="204"/>
        <v>0</v>
      </c>
      <c r="I151" s="79">
        <f t="shared" si="205"/>
        <v>300000000</v>
      </c>
      <c r="J151" s="78"/>
      <c r="K151" s="78"/>
      <c r="L151" s="78"/>
      <c r="M151" s="75">
        <f t="shared" si="206"/>
        <v>300000000</v>
      </c>
      <c r="N151" s="45"/>
      <c r="O151" s="45"/>
      <c r="P151" s="45"/>
      <c r="Q151" s="75">
        <f>300000000-300000000+300000000</f>
        <v>300000000</v>
      </c>
      <c r="R151" s="45"/>
      <c r="S151" s="45"/>
      <c r="T151" s="75"/>
      <c r="U151" s="75"/>
      <c r="V151" s="75"/>
      <c r="W151" s="75"/>
      <c r="X151" s="75"/>
      <c r="Y151" s="75"/>
      <c r="Z151" s="75"/>
      <c r="AA151" s="24"/>
      <c r="AB151" s="24"/>
      <c r="AC151" s="24"/>
      <c r="AD151" s="24"/>
      <c r="AE151" s="24"/>
      <c r="AF151" s="24"/>
      <c r="AG151" s="75"/>
      <c r="AI151" s="25">
        <f t="shared" si="242"/>
        <v>1</v>
      </c>
      <c r="AJ151" s="75">
        <f t="shared" si="207"/>
        <v>300000000</v>
      </c>
      <c r="AK151" s="75"/>
      <c r="AL151" s="75"/>
      <c r="AM151" s="75"/>
      <c r="AN151" s="75">
        <f>+'[2]JULIO 2015'!$M$236</f>
        <v>300000000</v>
      </c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  <c r="AY151" s="75"/>
      <c r="AZ151" s="75"/>
      <c r="BA151" s="75"/>
      <c r="BB151" s="75"/>
      <c r="BC151" s="75"/>
      <c r="BD151" s="75"/>
      <c r="BE151" s="25">
        <f t="shared" si="243"/>
        <v>0</v>
      </c>
      <c r="BF151" s="75">
        <f t="shared" si="208"/>
        <v>0</v>
      </c>
      <c r="BG151" s="75">
        <f t="shared" si="248"/>
        <v>0</v>
      </c>
      <c r="BH151" s="75">
        <f t="shared" si="249"/>
        <v>0</v>
      </c>
      <c r="BI151" s="75"/>
      <c r="BJ151" s="75">
        <f t="shared" si="246"/>
        <v>0</v>
      </c>
      <c r="BK151" s="75">
        <f t="shared" si="250"/>
        <v>0</v>
      </c>
      <c r="BL151" s="75">
        <f t="shared" si="251"/>
        <v>0</v>
      </c>
      <c r="BM151" s="75">
        <f t="shared" si="252"/>
        <v>0</v>
      </c>
      <c r="BN151" s="75"/>
      <c r="BO151" s="75">
        <f t="shared" si="253"/>
        <v>0</v>
      </c>
      <c r="BP151" s="75">
        <f t="shared" si="254"/>
        <v>0</v>
      </c>
      <c r="BQ151" s="75">
        <f t="shared" si="255"/>
        <v>0</v>
      </c>
      <c r="BR151" s="75">
        <f t="shared" si="256"/>
        <v>0</v>
      </c>
      <c r="BS151" s="75">
        <f t="shared" si="257"/>
        <v>0</v>
      </c>
      <c r="BT151" s="75">
        <f t="shared" si="258"/>
        <v>0</v>
      </c>
      <c r="BU151" s="75">
        <f t="shared" si="259"/>
        <v>0</v>
      </c>
      <c r="BV151" s="75">
        <f t="shared" si="260"/>
        <v>0</v>
      </c>
      <c r="BW151" s="75">
        <f t="shared" si="261"/>
        <v>0</v>
      </c>
      <c r="BX151" s="75"/>
      <c r="BY151" s="75">
        <f t="shared" si="262"/>
        <v>0</v>
      </c>
      <c r="BZ151" s="75">
        <f t="shared" si="263"/>
        <v>0</v>
      </c>
      <c r="CA151" s="25">
        <f t="shared" si="244"/>
        <v>0</v>
      </c>
      <c r="CB151" s="75">
        <f t="shared" si="225"/>
        <v>0</v>
      </c>
      <c r="CC151" s="75"/>
      <c r="CD151" s="75"/>
      <c r="CE151" s="75"/>
      <c r="CF151" s="75"/>
      <c r="CG151" s="75"/>
      <c r="CH151" s="75"/>
      <c r="CI151" s="75"/>
      <c r="CJ151" s="75"/>
      <c r="CK151" s="75"/>
      <c r="CL151" s="75"/>
      <c r="CM151" s="75"/>
      <c r="CN151" s="75"/>
      <c r="CO151" s="75"/>
      <c r="CP151" s="75"/>
      <c r="CQ151" s="75"/>
      <c r="CR151" s="75"/>
      <c r="CS151" s="75"/>
      <c r="CT151" s="75"/>
      <c r="CU151" s="75"/>
      <c r="CV151" s="75"/>
      <c r="CW151" s="25">
        <f t="shared" si="245"/>
        <v>1</v>
      </c>
      <c r="CX151" s="75">
        <f t="shared" si="226"/>
        <v>300000000</v>
      </c>
      <c r="CY151" s="75"/>
      <c r="CZ151" s="75"/>
      <c r="DA151" s="75"/>
      <c r="DB151" s="75">
        <f t="shared" si="247"/>
        <v>300000000</v>
      </c>
      <c r="DC151" s="75">
        <f t="shared" si="264"/>
        <v>0</v>
      </c>
      <c r="DD151" s="75">
        <f t="shared" si="265"/>
        <v>0</v>
      </c>
      <c r="DE151" s="75">
        <f t="shared" si="266"/>
        <v>0</v>
      </c>
      <c r="DF151" s="75"/>
      <c r="DG151" s="75">
        <f t="shared" si="267"/>
        <v>0</v>
      </c>
      <c r="DH151" s="75">
        <f t="shared" si="268"/>
        <v>0</v>
      </c>
      <c r="DI151" s="75"/>
      <c r="DJ151" s="75">
        <f t="shared" si="269"/>
        <v>0</v>
      </c>
      <c r="DK151" s="75">
        <f t="shared" si="270"/>
        <v>0</v>
      </c>
      <c r="DL151" s="75">
        <f t="shared" si="271"/>
        <v>0</v>
      </c>
      <c r="DM151" s="75">
        <f t="shared" si="272"/>
        <v>0</v>
      </c>
      <c r="DN151" s="75">
        <f t="shared" si="273"/>
        <v>0</v>
      </c>
      <c r="DO151" s="75">
        <f t="shared" si="274"/>
        <v>0</v>
      </c>
      <c r="DP151" s="75">
        <f t="shared" si="275"/>
        <v>0</v>
      </c>
      <c r="DQ151" s="75">
        <f t="shared" si="277"/>
        <v>0</v>
      </c>
      <c r="DR151" s="75">
        <f t="shared" si="276"/>
        <v>0</v>
      </c>
    </row>
    <row r="152" spans="1:122" ht="32.25" customHeight="1" x14ac:dyDescent="0.25">
      <c r="A152" s="246"/>
      <c r="B152" s="85"/>
      <c r="C152" s="86" t="s">
        <v>98</v>
      </c>
      <c r="D152" s="81" t="s">
        <v>97</v>
      </c>
      <c r="E152" s="80">
        <v>211</v>
      </c>
      <c r="F152" s="78" t="s">
        <v>96</v>
      </c>
      <c r="G152" s="228"/>
      <c r="H152" s="79">
        <f t="shared" si="204"/>
        <v>0</v>
      </c>
      <c r="I152" s="79">
        <f t="shared" si="205"/>
        <v>4200000</v>
      </c>
      <c r="J152" s="78"/>
      <c r="K152" s="78"/>
      <c r="L152" s="78"/>
      <c r="M152" s="75">
        <f t="shared" si="206"/>
        <v>4200000</v>
      </c>
      <c r="N152" s="45"/>
      <c r="O152" s="45"/>
      <c r="P152" s="45"/>
      <c r="Q152" s="75"/>
      <c r="R152" s="45"/>
      <c r="S152" s="45"/>
      <c r="T152" s="75"/>
      <c r="U152" s="75"/>
      <c r="V152" s="75"/>
      <c r="W152" s="75"/>
      <c r="X152" s="75"/>
      <c r="Y152" s="75"/>
      <c r="Z152" s="75"/>
      <c r="AA152" s="24"/>
      <c r="AB152" s="24"/>
      <c r="AC152" s="24"/>
      <c r="AD152" s="24"/>
      <c r="AE152" s="24"/>
      <c r="AF152" s="24"/>
      <c r="AG152" s="75">
        <f>4200000</f>
        <v>4200000</v>
      </c>
      <c r="AI152" s="25">
        <f t="shared" si="242"/>
        <v>1</v>
      </c>
      <c r="AJ152" s="75">
        <f t="shared" si="207"/>
        <v>4200000</v>
      </c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  <c r="AY152" s="75"/>
      <c r="AZ152" s="75"/>
      <c r="BA152" s="75"/>
      <c r="BB152" s="75"/>
      <c r="BC152" s="75"/>
      <c r="BD152" s="75">
        <f>+'[9]ENERO 2015'!$AA$166</f>
        <v>4200000</v>
      </c>
      <c r="BE152" s="25">
        <f t="shared" si="243"/>
        <v>0</v>
      </c>
      <c r="BF152" s="75">
        <f t="shared" si="208"/>
        <v>0</v>
      </c>
      <c r="BG152" s="75">
        <f t="shared" si="248"/>
        <v>0</v>
      </c>
      <c r="BH152" s="75">
        <f t="shared" si="249"/>
        <v>0</v>
      </c>
      <c r="BI152" s="75"/>
      <c r="BJ152" s="75">
        <f t="shared" si="246"/>
        <v>0</v>
      </c>
      <c r="BK152" s="75">
        <f t="shared" si="250"/>
        <v>0</v>
      </c>
      <c r="BL152" s="75">
        <f t="shared" si="251"/>
        <v>0</v>
      </c>
      <c r="BM152" s="75">
        <f t="shared" si="252"/>
        <v>0</v>
      </c>
      <c r="BN152" s="75"/>
      <c r="BO152" s="75">
        <f t="shared" si="253"/>
        <v>0</v>
      </c>
      <c r="BP152" s="75">
        <f t="shared" si="254"/>
        <v>0</v>
      </c>
      <c r="BQ152" s="75">
        <f t="shared" si="255"/>
        <v>0</v>
      </c>
      <c r="BR152" s="75">
        <f t="shared" si="256"/>
        <v>0</v>
      </c>
      <c r="BS152" s="75">
        <f t="shared" si="257"/>
        <v>0</v>
      </c>
      <c r="BT152" s="75">
        <f t="shared" si="258"/>
        <v>0</v>
      </c>
      <c r="BU152" s="75">
        <f t="shared" si="259"/>
        <v>0</v>
      </c>
      <c r="BV152" s="75">
        <f t="shared" si="260"/>
        <v>0</v>
      </c>
      <c r="BW152" s="75">
        <f t="shared" si="261"/>
        <v>0</v>
      </c>
      <c r="BX152" s="75"/>
      <c r="BY152" s="75">
        <f t="shared" si="262"/>
        <v>0</v>
      </c>
      <c r="BZ152" s="75">
        <f t="shared" si="263"/>
        <v>0</v>
      </c>
      <c r="CA152" s="25">
        <f t="shared" si="244"/>
        <v>0</v>
      </c>
      <c r="CB152" s="75">
        <f t="shared" si="225"/>
        <v>0</v>
      </c>
      <c r="CC152" s="75"/>
      <c r="CD152" s="75"/>
      <c r="CE152" s="75"/>
      <c r="CF152" s="75"/>
      <c r="CG152" s="75"/>
      <c r="CH152" s="75"/>
      <c r="CI152" s="75"/>
      <c r="CJ152" s="75"/>
      <c r="CK152" s="75"/>
      <c r="CL152" s="75"/>
      <c r="CM152" s="75"/>
      <c r="CN152" s="75"/>
      <c r="CO152" s="75"/>
      <c r="CP152" s="75"/>
      <c r="CQ152" s="75"/>
      <c r="CR152" s="75"/>
      <c r="CS152" s="75"/>
      <c r="CT152" s="75"/>
      <c r="CU152" s="75"/>
      <c r="CV152" s="75"/>
      <c r="CW152" s="25">
        <f t="shared" si="245"/>
        <v>1</v>
      </c>
      <c r="CX152" s="75">
        <f t="shared" si="226"/>
        <v>4200000</v>
      </c>
      <c r="CY152" s="75"/>
      <c r="CZ152" s="75"/>
      <c r="DA152" s="75"/>
      <c r="DB152" s="75">
        <f t="shared" si="247"/>
        <v>0</v>
      </c>
      <c r="DC152" s="75">
        <f t="shared" si="264"/>
        <v>0</v>
      </c>
      <c r="DD152" s="75">
        <f t="shared" si="265"/>
        <v>0</v>
      </c>
      <c r="DE152" s="75">
        <f t="shared" si="266"/>
        <v>0</v>
      </c>
      <c r="DF152" s="75"/>
      <c r="DG152" s="75">
        <f t="shared" si="267"/>
        <v>0</v>
      </c>
      <c r="DH152" s="75">
        <f t="shared" si="268"/>
        <v>0</v>
      </c>
      <c r="DI152" s="75"/>
      <c r="DJ152" s="75">
        <f t="shared" si="269"/>
        <v>0</v>
      </c>
      <c r="DK152" s="75">
        <f t="shared" si="270"/>
        <v>0</v>
      </c>
      <c r="DL152" s="75">
        <f t="shared" si="271"/>
        <v>0</v>
      </c>
      <c r="DM152" s="75">
        <f t="shared" si="272"/>
        <v>0</v>
      </c>
      <c r="DN152" s="75">
        <f t="shared" si="273"/>
        <v>0</v>
      </c>
      <c r="DO152" s="75">
        <f t="shared" si="274"/>
        <v>0</v>
      </c>
      <c r="DP152" s="75">
        <f t="shared" si="275"/>
        <v>0</v>
      </c>
      <c r="DQ152" s="75">
        <f t="shared" si="277"/>
        <v>0</v>
      </c>
      <c r="DR152" s="75">
        <f t="shared" si="276"/>
        <v>4200000</v>
      </c>
    </row>
    <row r="153" spans="1:122" ht="21" customHeight="1" x14ac:dyDescent="0.25">
      <c r="A153" s="246"/>
      <c r="B153" s="85"/>
      <c r="C153" s="86" t="s">
        <v>95</v>
      </c>
      <c r="D153" s="81" t="s">
        <v>94</v>
      </c>
      <c r="E153" s="80">
        <v>211</v>
      </c>
      <c r="F153" s="78" t="s">
        <v>12</v>
      </c>
      <c r="G153" s="228"/>
      <c r="H153" s="79">
        <f t="shared" si="204"/>
        <v>0</v>
      </c>
      <c r="I153" s="79">
        <f t="shared" si="205"/>
        <v>30741545</v>
      </c>
      <c r="J153" s="78"/>
      <c r="K153" s="78"/>
      <c r="L153" s="78"/>
      <c r="M153" s="75">
        <f t="shared" si="206"/>
        <v>30741545</v>
      </c>
      <c r="N153" s="45"/>
      <c r="O153" s="45"/>
      <c r="P153" s="45"/>
      <c r="Q153" s="75">
        <f>124058456-124058456</f>
        <v>0</v>
      </c>
      <c r="R153" s="45"/>
      <c r="S153" s="45"/>
      <c r="T153" s="75"/>
      <c r="U153" s="75"/>
      <c r="V153" s="75"/>
      <c r="W153" s="75"/>
      <c r="X153" s="75"/>
      <c r="Y153" s="75">
        <v>30741545</v>
      </c>
      <c r="Z153" s="75"/>
      <c r="AA153" s="24"/>
      <c r="AB153" s="24"/>
      <c r="AC153" s="24"/>
      <c r="AD153" s="24"/>
      <c r="AE153" s="24"/>
      <c r="AF153" s="24"/>
      <c r="AG153" s="75"/>
      <c r="AI153" s="25">
        <f t="shared" si="242"/>
        <v>0</v>
      </c>
      <c r="AJ153" s="75">
        <f t="shared" si="207"/>
        <v>0</v>
      </c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  <c r="AY153" s="75"/>
      <c r="AZ153" s="75"/>
      <c r="BA153" s="75"/>
      <c r="BB153" s="75"/>
      <c r="BC153" s="75"/>
      <c r="BD153" s="75"/>
      <c r="BE153" s="25">
        <f t="shared" si="243"/>
        <v>1</v>
      </c>
      <c r="BF153" s="75">
        <f t="shared" si="208"/>
        <v>30741545</v>
      </c>
      <c r="BG153" s="75">
        <f t="shared" si="248"/>
        <v>0</v>
      </c>
      <c r="BH153" s="75">
        <f t="shared" si="249"/>
        <v>0</v>
      </c>
      <c r="BI153" s="75"/>
      <c r="BJ153" s="75">
        <f t="shared" si="246"/>
        <v>0</v>
      </c>
      <c r="BK153" s="75">
        <f t="shared" si="250"/>
        <v>0</v>
      </c>
      <c r="BL153" s="75">
        <f t="shared" si="251"/>
        <v>0</v>
      </c>
      <c r="BM153" s="75">
        <f t="shared" si="252"/>
        <v>0</v>
      </c>
      <c r="BN153" s="75"/>
      <c r="BO153" s="75">
        <f t="shared" si="253"/>
        <v>0</v>
      </c>
      <c r="BP153" s="75">
        <f t="shared" si="254"/>
        <v>0</v>
      </c>
      <c r="BQ153" s="75">
        <f t="shared" si="255"/>
        <v>0</v>
      </c>
      <c r="BR153" s="75">
        <f t="shared" si="256"/>
        <v>30741545</v>
      </c>
      <c r="BS153" s="75">
        <f t="shared" si="257"/>
        <v>0</v>
      </c>
      <c r="BT153" s="75">
        <f t="shared" si="258"/>
        <v>0</v>
      </c>
      <c r="BU153" s="75">
        <f t="shared" si="259"/>
        <v>0</v>
      </c>
      <c r="BV153" s="75">
        <f t="shared" si="260"/>
        <v>0</v>
      </c>
      <c r="BW153" s="75">
        <f t="shared" si="261"/>
        <v>0</v>
      </c>
      <c r="BX153" s="75"/>
      <c r="BY153" s="75">
        <f t="shared" si="262"/>
        <v>0</v>
      </c>
      <c r="BZ153" s="75">
        <f t="shared" si="263"/>
        <v>0</v>
      </c>
      <c r="CA153" s="25">
        <f t="shared" si="244"/>
        <v>0</v>
      </c>
      <c r="CB153" s="75">
        <f t="shared" si="225"/>
        <v>0</v>
      </c>
      <c r="CC153" s="75"/>
      <c r="CD153" s="75"/>
      <c r="CE153" s="75"/>
      <c r="CF153" s="75"/>
      <c r="CG153" s="75"/>
      <c r="CH153" s="75"/>
      <c r="CI153" s="75"/>
      <c r="CJ153" s="75"/>
      <c r="CK153" s="75"/>
      <c r="CL153" s="75"/>
      <c r="CM153" s="75"/>
      <c r="CN153" s="75"/>
      <c r="CO153" s="75"/>
      <c r="CP153" s="75"/>
      <c r="CQ153" s="75"/>
      <c r="CR153" s="75"/>
      <c r="CS153" s="75"/>
      <c r="CT153" s="75"/>
      <c r="CU153" s="75"/>
      <c r="CV153" s="75"/>
      <c r="CW153" s="25">
        <f t="shared" si="245"/>
        <v>1</v>
      </c>
      <c r="CX153" s="75">
        <f t="shared" si="226"/>
        <v>30741545</v>
      </c>
      <c r="CY153" s="75"/>
      <c r="CZ153" s="75"/>
      <c r="DA153" s="75"/>
      <c r="DB153" s="75">
        <f t="shared" si="247"/>
        <v>0</v>
      </c>
      <c r="DC153" s="75">
        <f t="shared" si="264"/>
        <v>0</v>
      </c>
      <c r="DD153" s="75">
        <f t="shared" si="265"/>
        <v>0</v>
      </c>
      <c r="DE153" s="75">
        <f t="shared" si="266"/>
        <v>0</v>
      </c>
      <c r="DF153" s="75"/>
      <c r="DG153" s="75">
        <f t="shared" si="267"/>
        <v>0</v>
      </c>
      <c r="DH153" s="75">
        <f t="shared" si="268"/>
        <v>0</v>
      </c>
      <c r="DI153" s="75"/>
      <c r="DJ153" s="75">
        <f t="shared" si="269"/>
        <v>30741545</v>
      </c>
      <c r="DK153" s="75">
        <f t="shared" si="270"/>
        <v>0</v>
      </c>
      <c r="DL153" s="75">
        <f t="shared" si="271"/>
        <v>0</v>
      </c>
      <c r="DM153" s="75">
        <f t="shared" si="272"/>
        <v>0</v>
      </c>
      <c r="DN153" s="75">
        <f t="shared" si="273"/>
        <v>0</v>
      </c>
      <c r="DO153" s="75">
        <f t="shared" si="274"/>
        <v>0</v>
      </c>
      <c r="DP153" s="75">
        <f t="shared" si="275"/>
        <v>0</v>
      </c>
      <c r="DQ153" s="75">
        <f t="shared" si="277"/>
        <v>0</v>
      </c>
      <c r="DR153" s="75">
        <f t="shared" si="276"/>
        <v>0</v>
      </c>
    </row>
    <row r="154" spans="1:122" ht="20.25" customHeight="1" x14ac:dyDescent="0.25">
      <c r="A154" s="246"/>
      <c r="B154" s="85"/>
      <c r="C154" s="86" t="s">
        <v>93</v>
      </c>
      <c r="D154" s="81" t="s">
        <v>92</v>
      </c>
      <c r="E154" s="80">
        <v>211</v>
      </c>
      <c r="F154" s="78" t="s">
        <v>12</v>
      </c>
      <c r="G154" s="228"/>
      <c r="H154" s="79">
        <f t="shared" ref="H154:H186" si="278">+CB154</f>
        <v>239816980</v>
      </c>
      <c r="I154" s="79">
        <f t="shared" ref="I154:I185" si="279">M154-H154</f>
        <v>0</v>
      </c>
      <c r="J154" s="78"/>
      <c r="K154" s="78"/>
      <c r="L154" s="78"/>
      <c r="M154" s="75">
        <f t="shared" ref="M154:M185" si="280">SUM(N154:AG154)</f>
        <v>239816980</v>
      </c>
      <c r="N154" s="45"/>
      <c r="O154" s="45"/>
      <c r="P154" s="45"/>
      <c r="Q154" s="75">
        <f>101542660+138457340-183020</f>
        <v>239816980</v>
      </c>
      <c r="R154" s="45"/>
      <c r="S154" s="45"/>
      <c r="T154" s="75">
        <f>169457340-169457340</f>
        <v>0</v>
      </c>
      <c r="U154" s="75"/>
      <c r="V154" s="75"/>
      <c r="W154" s="75"/>
      <c r="X154" s="75"/>
      <c r="Y154" s="75"/>
      <c r="Z154" s="75"/>
      <c r="AA154" s="24"/>
      <c r="AB154" s="24"/>
      <c r="AC154" s="24"/>
      <c r="AD154" s="24"/>
      <c r="AE154" s="24"/>
      <c r="AF154" s="24"/>
      <c r="AG154" s="75"/>
      <c r="AI154" s="25">
        <f t="shared" si="242"/>
        <v>1</v>
      </c>
      <c r="AJ154" s="75">
        <f t="shared" ref="AJ154:AJ185" si="281">SUM(AK154:BD154)</f>
        <v>239816980</v>
      </c>
      <c r="AK154" s="75"/>
      <c r="AL154" s="75"/>
      <c r="AM154" s="75"/>
      <c r="AN154" s="75">
        <f>+'[6]JUNIO 2015'!$M$235</f>
        <v>239816980</v>
      </c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25">
        <f t="shared" si="243"/>
        <v>0</v>
      </c>
      <c r="BF154" s="75">
        <f t="shared" ref="BF154:BF185" si="282">SUM(BG154:BZ154)</f>
        <v>0</v>
      </c>
      <c r="BG154" s="75">
        <f t="shared" si="248"/>
        <v>0</v>
      </c>
      <c r="BH154" s="75">
        <f t="shared" si="249"/>
        <v>0</v>
      </c>
      <c r="BI154" s="75"/>
      <c r="BJ154" s="75">
        <f t="shared" si="246"/>
        <v>0</v>
      </c>
      <c r="BK154" s="75">
        <f t="shared" si="250"/>
        <v>0</v>
      </c>
      <c r="BL154" s="75">
        <f t="shared" si="251"/>
        <v>0</v>
      </c>
      <c r="BM154" s="75">
        <f t="shared" si="252"/>
        <v>0</v>
      </c>
      <c r="BN154" s="75"/>
      <c r="BO154" s="75">
        <f t="shared" si="253"/>
        <v>0</v>
      </c>
      <c r="BP154" s="75">
        <f t="shared" si="254"/>
        <v>0</v>
      </c>
      <c r="BQ154" s="75">
        <f t="shared" si="255"/>
        <v>0</v>
      </c>
      <c r="BR154" s="75">
        <f t="shared" si="256"/>
        <v>0</v>
      </c>
      <c r="BS154" s="75">
        <f t="shared" si="257"/>
        <v>0</v>
      </c>
      <c r="BT154" s="75">
        <f t="shared" si="258"/>
        <v>0</v>
      </c>
      <c r="BU154" s="75">
        <f t="shared" si="259"/>
        <v>0</v>
      </c>
      <c r="BV154" s="75">
        <f t="shared" si="260"/>
        <v>0</v>
      </c>
      <c r="BW154" s="75">
        <f t="shared" si="261"/>
        <v>0</v>
      </c>
      <c r="BX154" s="75"/>
      <c r="BY154" s="75">
        <f t="shared" si="262"/>
        <v>0</v>
      </c>
      <c r="BZ154" s="75">
        <f t="shared" si="263"/>
        <v>0</v>
      </c>
      <c r="CA154" s="25">
        <f t="shared" si="244"/>
        <v>1</v>
      </c>
      <c r="CB154" s="75">
        <f t="shared" ref="CB154:CB185" si="283">SUM(CC154:CV154)</f>
        <v>239816980</v>
      </c>
      <c r="CC154" s="75"/>
      <c r="CD154" s="75"/>
      <c r="CE154" s="75"/>
      <c r="CF154" s="75">
        <f>+'[3]ABRIL 2015'!$H$216</f>
        <v>239816980</v>
      </c>
      <c r="CG154" s="75"/>
      <c r="CH154" s="75"/>
      <c r="CI154" s="75"/>
      <c r="CJ154" s="75"/>
      <c r="CK154" s="75"/>
      <c r="CL154" s="75"/>
      <c r="CM154" s="75"/>
      <c r="CN154" s="75"/>
      <c r="CO154" s="75"/>
      <c r="CP154" s="75"/>
      <c r="CQ154" s="75"/>
      <c r="CR154" s="75"/>
      <c r="CS154" s="75"/>
      <c r="CT154" s="75"/>
      <c r="CU154" s="75"/>
      <c r="CV154" s="75"/>
      <c r="CW154" s="25">
        <f t="shared" si="245"/>
        <v>0</v>
      </c>
      <c r="CX154" s="75">
        <f t="shared" ref="CX154:CX185" si="284">SUM(CY154:DR154)</f>
        <v>0</v>
      </c>
      <c r="CY154" s="75"/>
      <c r="CZ154" s="75"/>
      <c r="DA154" s="75"/>
      <c r="DB154" s="75">
        <f t="shared" si="247"/>
        <v>0</v>
      </c>
      <c r="DC154" s="75">
        <f t="shared" si="264"/>
        <v>0</v>
      </c>
      <c r="DD154" s="75">
        <f t="shared" si="265"/>
        <v>0</v>
      </c>
      <c r="DE154" s="75">
        <f t="shared" si="266"/>
        <v>0</v>
      </c>
      <c r="DF154" s="75"/>
      <c r="DG154" s="75">
        <f t="shared" si="267"/>
        <v>0</v>
      </c>
      <c r="DH154" s="75">
        <f t="shared" si="268"/>
        <v>0</v>
      </c>
      <c r="DI154" s="75"/>
      <c r="DJ154" s="75">
        <f t="shared" si="269"/>
        <v>0</v>
      </c>
      <c r="DK154" s="75">
        <f t="shared" si="270"/>
        <v>0</v>
      </c>
      <c r="DL154" s="75">
        <f t="shared" si="271"/>
        <v>0</v>
      </c>
      <c r="DM154" s="75">
        <f t="shared" si="272"/>
        <v>0</v>
      </c>
      <c r="DN154" s="75">
        <f t="shared" si="273"/>
        <v>0</v>
      </c>
      <c r="DO154" s="75">
        <f t="shared" si="274"/>
        <v>0</v>
      </c>
      <c r="DP154" s="75">
        <f t="shared" si="275"/>
        <v>0</v>
      </c>
      <c r="DQ154" s="75">
        <f t="shared" si="277"/>
        <v>0</v>
      </c>
      <c r="DR154" s="75">
        <f t="shared" si="276"/>
        <v>0</v>
      </c>
    </row>
    <row r="155" spans="1:122" ht="18.75" customHeight="1" x14ac:dyDescent="0.25">
      <c r="A155" s="246"/>
      <c r="B155" s="85"/>
      <c r="C155" s="86" t="s">
        <v>91</v>
      </c>
      <c r="D155" s="81" t="s">
        <v>90</v>
      </c>
      <c r="E155" s="80">
        <v>211</v>
      </c>
      <c r="F155" s="78" t="s">
        <v>12</v>
      </c>
      <c r="G155" s="228"/>
      <c r="H155" s="79">
        <f t="shared" si="278"/>
        <v>0</v>
      </c>
      <c r="I155" s="79">
        <f t="shared" si="279"/>
        <v>0</v>
      </c>
      <c r="J155" s="78"/>
      <c r="K155" s="78"/>
      <c r="L155" s="78"/>
      <c r="M155" s="75">
        <f t="shared" si="280"/>
        <v>0</v>
      </c>
      <c r="N155" s="45"/>
      <c r="O155" s="75">
        <f>353000000-353000000</f>
        <v>0</v>
      </c>
      <c r="P155" s="75"/>
      <c r="Q155" s="75">
        <f>99815599-99815599</f>
        <v>0</v>
      </c>
      <c r="R155" s="75"/>
      <c r="S155" s="75"/>
      <c r="T155" s="75">
        <f>500000000-37000000-110000000-353000000</f>
        <v>0</v>
      </c>
      <c r="U155" s="45"/>
      <c r="V155" s="45"/>
      <c r="W155" s="24"/>
      <c r="X155" s="24"/>
      <c r="Y155" s="24"/>
      <c r="Z155" s="24"/>
      <c r="AA155" s="24"/>
      <c r="AB155" s="45"/>
      <c r="AC155" s="45"/>
      <c r="AD155" s="45"/>
      <c r="AE155" s="45"/>
      <c r="AF155" s="45"/>
      <c r="AG155" s="75"/>
      <c r="AI155" s="25" t="e">
        <f t="shared" si="242"/>
        <v>#DIV/0!</v>
      </c>
      <c r="AJ155" s="75">
        <f t="shared" si="281"/>
        <v>0</v>
      </c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25" t="e">
        <f t="shared" si="243"/>
        <v>#DIV/0!</v>
      </c>
      <c r="BF155" s="75">
        <f t="shared" si="282"/>
        <v>0</v>
      </c>
      <c r="BG155" s="75">
        <f t="shared" si="248"/>
        <v>0</v>
      </c>
      <c r="BH155" s="75">
        <f t="shared" si="249"/>
        <v>0</v>
      </c>
      <c r="BI155" s="75"/>
      <c r="BJ155" s="75">
        <f t="shared" si="246"/>
        <v>0</v>
      </c>
      <c r="BK155" s="75">
        <f t="shared" si="250"/>
        <v>0</v>
      </c>
      <c r="BL155" s="75">
        <f t="shared" si="251"/>
        <v>0</v>
      </c>
      <c r="BM155" s="75">
        <f t="shared" si="252"/>
        <v>0</v>
      </c>
      <c r="BN155" s="75"/>
      <c r="BO155" s="75">
        <f t="shared" si="253"/>
        <v>0</v>
      </c>
      <c r="BP155" s="75">
        <f t="shared" si="254"/>
        <v>0</v>
      </c>
      <c r="BQ155" s="75">
        <f t="shared" si="255"/>
        <v>0</v>
      </c>
      <c r="BR155" s="75">
        <f t="shared" si="256"/>
        <v>0</v>
      </c>
      <c r="BS155" s="75">
        <f t="shared" si="257"/>
        <v>0</v>
      </c>
      <c r="BT155" s="75">
        <f t="shared" si="258"/>
        <v>0</v>
      </c>
      <c r="BU155" s="75">
        <f t="shared" si="259"/>
        <v>0</v>
      </c>
      <c r="BV155" s="75">
        <f t="shared" si="260"/>
        <v>0</v>
      </c>
      <c r="BW155" s="75">
        <f t="shared" si="261"/>
        <v>0</v>
      </c>
      <c r="BX155" s="75">
        <f>+AE155-BB155</f>
        <v>0</v>
      </c>
      <c r="BY155" s="75">
        <f t="shared" si="262"/>
        <v>0</v>
      </c>
      <c r="BZ155" s="75">
        <f t="shared" si="263"/>
        <v>0</v>
      </c>
      <c r="CA155" s="25" t="e">
        <f t="shared" si="244"/>
        <v>#DIV/0!</v>
      </c>
      <c r="CB155" s="75">
        <f t="shared" si="283"/>
        <v>0</v>
      </c>
      <c r="CC155" s="75"/>
      <c r="CD155" s="75"/>
      <c r="CE155" s="75"/>
      <c r="CF155" s="75"/>
      <c r="CG155" s="75"/>
      <c r="CH155" s="75"/>
      <c r="CI155" s="75"/>
      <c r="CJ155" s="75"/>
      <c r="CK155" s="75"/>
      <c r="CL155" s="75"/>
      <c r="CM155" s="75"/>
      <c r="CN155" s="75"/>
      <c r="CO155" s="75"/>
      <c r="CP155" s="75"/>
      <c r="CQ155" s="75"/>
      <c r="CR155" s="75"/>
      <c r="CS155" s="75"/>
      <c r="CT155" s="75"/>
      <c r="CU155" s="75"/>
      <c r="CV155" s="75"/>
      <c r="CW155" s="25" t="e">
        <f t="shared" si="245"/>
        <v>#DIV/0!</v>
      </c>
      <c r="CX155" s="75">
        <f t="shared" si="284"/>
        <v>0</v>
      </c>
      <c r="CY155" s="75"/>
      <c r="CZ155" s="75">
        <f>O155-CD155</f>
        <v>0</v>
      </c>
      <c r="DA155" s="75">
        <f>P155-CE155</f>
        <v>0</v>
      </c>
      <c r="DB155" s="75">
        <f t="shared" si="247"/>
        <v>0</v>
      </c>
      <c r="DC155" s="75">
        <f t="shared" si="264"/>
        <v>0</v>
      </c>
      <c r="DD155" s="75">
        <f t="shared" si="265"/>
        <v>0</v>
      </c>
      <c r="DE155" s="75">
        <f t="shared" si="266"/>
        <v>0</v>
      </c>
      <c r="DF155" s="75"/>
      <c r="DG155" s="75">
        <f t="shared" si="267"/>
        <v>0</v>
      </c>
      <c r="DH155" s="75">
        <f t="shared" si="268"/>
        <v>0</v>
      </c>
      <c r="DI155" s="75"/>
      <c r="DJ155" s="75">
        <f t="shared" si="269"/>
        <v>0</v>
      </c>
      <c r="DK155" s="75">
        <f t="shared" si="270"/>
        <v>0</v>
      </c>
      <c r="DL155" s="75">
        <f t="shared" si="271"/>
        <v>0</v>
      </c>
      <c r="DM155" s="75">
        <f t="shared" si="272"/>
        <v>0</v>
      </c>
      <c r="DN155" s="75">
        <f t="shared" si="273"/>
        <v>0</v>
      </c>
      <c r="DO155" s="75">
        <f t="shared" si="274"/>
        <v>0</v>
      </c>
      <c r="DP155" s="75">
        <f t="shared" si="275"/>
        <v>0</v>
      </c>
      <c r="DQ155" s="75">
        <f t="shared" si="277"/>
        <v>0</v>
      </c>
      <c r="DR155" s="75">
        <f t="shared" si="276"/>
        <v>0</v>
      </c>
    </row>
    <row r="156" spans="1:122" ht="42.75" customHeight="1" x14ac:dyDescent="0.25">
      <c r="A156" s="246"/>
      <c r="B156" s="85"/>
      <c r="C156" s="86" t="s">
        <v>89</v>
      </c>
      <c r="D156" s="81" t="s">
        <v>88</v>
      </c>
      <c r="E156" s="80">
        <v>211</v>
      </c>
      <c r="F156" s="78" t="s">
        <v>87</v>
      </c>
      <c r="G156" s="228"/>
      <c r="H156" s="79">
        <f t="shared" si="278"/>
        <v>14638234</v>
      </c>
      <c r="I156" s="79">
        <f t="shared" si="279"/>
        <v>446136880</v>
      </c>
      <c r="J156" s="78"/>
      <c r="K156" s="78"/>
      <c r="L156" s="78"/>
      <c r="M156" s="75">
        <f t="shared" si="280"/>
        <v>460775114</v>
      </c>
      <c r="N156" s="45"/>
      <c r="O156" s="75"/>
      <c r="P156" s="75"/>
      <c r="Q156" s="75">
        <v>420000000</v>
      </c>
      <c r="R156" s="75"/>
      <c r="S156" s="75"/>
      <c r="T156" s="75"/>
      <c r="U156" s="45"/>
      <c r="V156" s="45"/>
      <c r="W156" s="24"/>
      <c r="X156" s="24"/>
      <c r="Y156" s="24"/>
      <c r="Z156" s="24"/>
      <c r="AA156" s="24"/>
      <c r="AB156" s="45"/>
      <c r="AC156" s="45"/>
      <c r="AD156" s="45"/>
      <c r="AE156" s="45"/>
      <c r="AF156" s="45"/>
      <c r="AG156" s="75">
        <f>37000000+3775114</f>
        <v>40775114</v>
      </c>
      <c r="AI156" s="25">
        <f t="shared" si="242"/>
        <v>8.0299475548499352E-2</v>
      </c>
      <c r="AJ156" s="75">
        <f t="shared" si="281"/>
        <v>37000000</v>
      </c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  <c r="AY156" s="75"/>
      <c r="AZ156" s="75"/>
      <c r="BA156" s="75"/>
      <c r="BB156" s="75"/>
      <c r="BC156" s="75"/>
      <c r="BD156" s="75">
        <f>+'[8]FEBRERO 2015'!$G$196</f>
        <v>37000000</v>
      </c>
      <c r="BE156" s="25">
        <f t="shared" si="243"/>
        <v>0.91970052445150063</v>
      </c>
      <c r="BF156" s="75">
        <f t="shared" si="282"/>
        <v>423775114</v>
      </c>
      <c r="BG156" s="75">
        <f t="shared" si="248"/>
        <v>0</v>
      </c>
      <c r="BH156" s="75">
        <f t="shared" si="249"/>
        <v>0</v>
      </c>
      <c r="BI156" s="75"/>
      <c r="BJ156" s="75">
        <f t="shared" si="246"/>
        <v>420000000</v>
      </c>
      <c r="BK156" s="75">
        <f t="shared" si="250"/>
        <v>0</v>
      </c>
      <c r="BL156" s="75">
        <f t="shared" si="251"/>
        <v>0</v>
      </c>
      <c r="BM156" s="75">
        <f t="shared" si="252"/>
        <v>0</v>
      </c>
      <c r="BN156" s="75"/>
      <c r="BO156" s="75">
        <f t="shared" si="253"/>
        <v>0</v>
      </c>
      <c r="BP156" s="75">
        <f t="shared" si="254"/>
        <v>0</v>
      </c>
      <c r="BQ156" s="75">
        <f t="shared" si="255"/>
        <v>0</v>
      </c>
      <c r="BR156" s="75">
        <f t="shared" si="256"/>
        <v>0</v>
      </c>
      <c r="BS156" s="75">
        <f t="shared" si="257"/>
        <v>0</v>
      </c>
      <c r="BT156" s="75">
        <f t="shared" si="258"/>
        <v>0</v>
      </c>
      <c r="BU156" s="75">
        <f t="shared" si="259"/>
        <v>0</v>
      </c>
      <c r="BV156" s="75">
        <f t="shared" si="260"/>
        <v>0</v>
      </c>
      <c r="BW156" s="75">
        <f t="shared" si="261"/>
        <v>0</v>
      </c>
      <c r="BX156" s="75"/>
      <c r="BY156" s="75">
        <f t="shared" si="262"/>
        <v>0</v>
      </c>
      <c r="BZ156" s="75">
        <f t="shared" si="263"/>
        <v>3775114</v>
      </c>
      <c r="CA156" s="25">
        <f t="shared" si="244"/>
        <v>3.1768716571789507E-2</v>
      </c>
      <c r="CB156" s="75">
        <f t="shared" si="283"/>
        <v>14638234</v>
      </c>
      <c r="CC156" s="75"/>
      <c r="CD156" s="75"/>
      <c r="CE156" s="75"/>
      <c r="CF156" s="75"/>
      <c r="CG156" s="75"/>
      <c r="CH156" s="75"/>
      <c r="CI156" s="75"/>
      <c r="CJ156" s="75"/>
      <c r="CK156" s="75"/>
      <c r="CL156" s="75"/>
      <c r="CM156" s="75"/>
      <c r="CN156" s="75"/>
      <c r="CO156" s="75"/>
      <c r="CP156" s="75"/>
      <c r="CQ156" s="75"/>
      <c r="CR156" s="75"/>
      <c r="CS156" s="75"/>
      <c r="CT156" s="75"/>
      <c r="CU156" s="75"/>
      <c r="CV156" s="75">
        <f>+'[1]AGOSTO 2015'!$H$276</f>
        <v>14638234</v>
      </c>
      <c r="CW156" s="25">
        <f t="shared" si="245"/>
        <v>0.96823128342821052</v>
      </c>
      <c r="CX156" s="75">
        <f t="shared" si="284"/>
        <v>446136880</v>
      </c>
      <c r="CY156" s="75"/>
      <c r="CZ156" s="75"/>
      <c r="DA156" s="75"/>
      <c r="DB156" s="75">
        <f t="shared" si="247"/>
        <v>420000000</v>
      </c>
      <c r="DC156" s="75">
        <f t="shared" si="264"/>
        <v>0</v>
      </c>
      <c r="DD156" s="75">
        <f t="shared" si="265"/>
        <v>0</v>
      </c>
      <c r="DE156" s="75">
        <f t="shared" si="266"/>
        <v>0</v>
      </c>
      <c r="DF156" s="75"/>
      <c r="DG156" s="75">
        <f t="shared" si="267"/>
        <v>0</v>
      </c>
      <c r="DH156" s="75">
        <f t="shared" si="268"/>
        <v>0</v>
      </c>
      <c r="DI156" s="75"/>
      <c r="DJ156" s="75">
        <f t="shared" si="269"/>
        <v>0</v>
      </c>
      <c r="DK156" s="75">
        <f t="shared" si="270"/>
        <v>0</v>
      </c>
      <c r="DL156" s="75">
        <f t="shared" si="271"/>
        <v>0</v>
      </c>
      <c r="DM156" s="75">
        <f t="shared" si="272"/>
        <v>0</v>
      </c>
      <c r="DN156" s="75">
        <f t="shared" si="273"/>
        <v>0</v>
      </c>
      <c r="DO156" s="75">
        <f t="shared" si="274"/>
        <v>0</v>
      </c>
      <c r="DP156" s="75">
        <f t="shared" si="275"/>
        <v>0</v>
      </c>
      <c r="DQ156" s="75">
        <f t="shared" si="277"/>
        <v>0</v>
      </c>
      <c r="DR156" s="75">
        <f t="shared" si="276"/>
        <v>26136880</v>
      </c>
    </row>
    <row r="157" spans="1:122" ht="81" customHeight="1" x14ac:dyDescent="0.25">
      <c r="A157" s="246"/>
      <c r="B157" s="85"/>
      <c r="C157" s="86" t="s">
        <v>86</v>
      </c>
      <c r="D157" s="81" t="s">
        <v>85</v>
      </c>
      <c r="E157" s="80">
        <v>211</v>
      </c>
      <c r="F157" s="78" t="s">
        <v>84</v>
      </c>
      <c r="G157" s="228"/>
      <c r="H157" s="79">
        <f t="shared" si="278"/>
        <v>21204410</v>
      </c>
      <c r="I157" s="79">
        <f t="shared" si="279"/>
        <v>49210006</v>
      </c>
      <c r="J157" s="78"/>
      <c r="K157" s="78"/>
      <c r="L157" s="78"/>
      <c r="M157" s="75">
        <f t="shared" si="280"/>
        <v>70414416</v>
      </c>
      <c r="N157" s="45"/>
      <c r="O157" s="75"/>
      <c r="P157" s="75"/>
      <c r="Q157" s="75"/>
      <c r="R157" s="75"/>
      <c r="S157" s="75"/>
      <c r="T157" s="75"/>
      <c r="U157" s="45"/>
      <c r="V157" s="45"/>
      <c r="W157" s="24"/>
      <c r="X157" s="24"/>
      <c r="Y157" s="24"/>
      <c r="Z157" s="24"/>
      <c r="AA157" s="24"/>
      <c r="AB157" s="45"/>
      <c r="AC157" s="45"/>
      <c r="AD157" s="45"/>
      <c r="AE157" s="45"/>
      <c r="AF157" s="45"/>
      <c r="AG157" s="75">
        <f>6158702+2689112+21598701+428146+6000101+7556188+25983466</f>
        <v>70414416</v>
      </c>
      <c r="AI157" s="25">
        <f t="shared" si="242"/>
        <v>0.87610883544074269</v>
      </c>
      <c r="AJ157" s="75">
        <f t="shared" si="281"/>
        <v>61690692</v>
      </c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  <c r="AY157" s="75"/>
      <c r="AZ157" s="75"/>
      <c r="BA157" s="75"/>
      <c r="BB157" s="75"/>
      <c r="BC157" s="75"/>
      <c r="BD157" s="75">
        <f>+'[2]JULIO 2015'!$AD$273</f>
        <v>61690692</v>
      </c>
      <c r="BE157" s="25">
        <f t="shared" si="243"/>
        <v>0.12389116455925731</v>
      </c>
      <c r="BF157" s="75">
        <f t="shared" si="282"/>
        <v>8723724</v>
      </c>
      <c r="BG157" s="75">
        <f t="shared" si="248"/>
        <v>0</v>
      </c>
      <c r="BH157" s="75">
        <f t="shared" si="249"/>
        <v>0</v>
      </c>
      <c r="BI157" s="75"/>
      <c r="BJ157" s="75">
        <f t="shared" si="246"/>
        <v>0</v>
      </c>
      <c r="BK157" s="75">
        <f t="shared" si="250"/>
        <v>0</v>
      </c>
      <c r="BL157" s="75">
        <f t="shared" si="251"/>
        <v>0</v>
      </c>
      <c r="BM157" s="75">
        <f t="shared" si="252"/>
        <v>0</v>
      </c>
      <c r="BN157" s="75"/>
      <c r="BO157" s="75">
        <f t="shared" si="253"/>
        <v>0</v>
      </c>
      <c r="BP157" s="75">
        <f t="shared" si="254"/>
        <v>0</v>
      </c>
      <c r="BQ157" s="75">
        <f t="shared" si="255"/>
        <v>0</v>
      </c>
      <c r="BR157" s="75">
        <f t="shared" si="256"/>
        <v>0</v>
      </c>
      <c r="BS157" s="75">
        <f t="shared" si="257"/>
        <v>0</v>
      </c>
      <c r="BT157" s="75">
        <f t="shared" si="258"/>
        <v>0</v>
      </c>
      <c r="BU157" s="75">
        <f t="shared" si="259"/>
        <v>0</v>
      </c>
      <c r="BV157" s="75">
        <f t="shared" si="260"/>
        <v>0</v>
      </c>
      <c r="BW157" s="75">
        <f t="shared" si="261"/>
        <v>0</v>
      </c>
      <c r="BX157" s="75"/>
      <c r="BY157" s="75">
        <f t="shared" si="262"/>
        <v>0</v>
      </c>
      <c r="BZ157" s="75">
        <f t="shared" si="263"/>
        <v>8723724</v>
      </c>
      <c r="CA157" s="25">
        <f t="shared" si="244"/>
        <v>0.30113734096722466</v>
      </c>
      <c r="CB157" s="75">
        <f t="shared" si="283"/>
        <v>21204410</v>
      </c>
      <c r="CC157" s="75"/>
      <c r="CD157" s="75"/>
      <c r="CE157" s="75"/>
      <c r="CF157" s="75"/>
      <c r="CG157" s="75"/>
      <c r="CH157" s="75"/>
      <c r="CI157" s="75"/>
      <c r="CJ157" s="75"/>
      <c r="CK157" s="75"/>
      <c r="CL157" s="75"/>
      <c r="CM157" s="75"/>
      <c r="CN157" s="75"/>
      <c r="CO157" s="75"/>
      <c r="CP157" s="75"/>
      <c r="CQ157" s="75"/>
      <c r="CR157" s="75"/>
      <c r="CS157" s="75"/>
      <c r="CT157" s="75"/>
      <c r="CU157" s="75"/>
      <c r="CV157" s="75">
        <f>+'[1]AGOSTO 2015'!$H$284</f>
        <v>21204410</v>
      </c>
      <c r="CW157" s="25">
        <f t="shared" si="245"/>
        <v>0.69886265903277534</v>
      </c>
      <c r="CX157" s="75">
        <f t="shared" si="284"/>
        <v>49210006</v>
      </c>
      <c r="CY157" s="75"/>
      <c r="CZ157" s="75"/>
      <c r="DA157" s="75"/>
      <c r="DB157" s="75">
        <f t="shared" si="247"/>
        <v>0</v>
      </c>
      <c r="DC157" s="75">
        <f t="shared" si="264"/>
        <v>0</v>
      </c>
      <c r="DD157" s="75">
        <f t="shared" si="265"/>
        <v>0</v>
      </c>
      <c r="DE157" s="75">
        <f t="shared" si="266"/>
        <v>0</v>
      </c>
      <c r="DF157" s="75"/>
      <c r="DG157" s="75">
        <f t="shared" si="267"/>
        <v>0</v>
      </c>
      <c r="DH157" s="75">
        <f t="shared" si="268"/>
        <v>0</v>
      </c>
      <c r="DI157" s="75"/>
      <c r="DJ157" s="75">
        <f t="shared" si="269"/>
        <v>0</v>
      </c>
      <c r="DK157" s="75">
        <f t="shared" si="270"/>
        <v>0</v>
      </c>
      <c r="DL157" s="75">
        <f t="shared" si="271"/>
        <v>0</v>
      </c>
      <c r="DM157" s="75">
        <f t="shared" si="272"/>
        <v>0</v>
      </c>
      <c r="DN157" s="75">
        <f t="shared" si="273"/>
        <v>0</v>
      </c>
      <c r="DO157" s="75">
        <f t="shared" si="274"/>
        <v>0</v>
      </c>
      <c r="DP157" s="75">
        <f t="shared" si="275"/>
        <v>0</v>
      </c>
      <c r="DQ157" s="75">
        <f t="shared" si="277"/>
        <v>0</v>
      </c>
      <c r="DR157" s="75">
        <f t="shared" si="276"/>
        <v>49210006</v>
      </c>
    </row>
    <row r="158" spans="1:122" ht="23.25" customHeight="1" x14ac:dyDescent="0.25">
      <c r="A158" s="246"/>
      <c r="B158" s="85"/>
      <c r="C158" s="86" t="s">
        <v>83</v>
      </c>
      <c r="D158" s="81" t="s">
        <v>82</v>
      </c>
      <c r="E158" s="80">
        <v>211</v>
      </c>
      <c r="F158" s="78" t="s">
        <v>12</v>
      </c>
      <c r="G158" s="228"/>
      <c r="H158" s="79">
        <f t="shared" si="278"/>
        <v>0</v>
      </c>
      <c r="I158" s="79">
        <f t="shared" si="279"/>
        <v>0</v>
      </c>
      <c r="J158" s="78"/>
      <c r="K158" s="78"/>
      <c r="L158" s="78"/>
      <c r="M158" s="75">
        <f t="shared" si="280"/>
        <v>0</v>
      </c>
      <c r="N158" s="45"/>
      <c r="O158" s="75">
        <f>270014856-270014856</f>
        <v>0</v>
      </c>
      <c r="P158" s="75"/>
      <c r="Q158" s="75">
        <f>65677916-65677916</f>
        <v>0</v>
      </c>
      <c r="R158" s="75"/>
      <c r="S158" s="75"/>
      <c r="T158" s="75">
        <f>335692772-270014856-65677916</f>
        <v>0</v>
      </c>
      <c r="U158" s="45"/>
      <c r="V158" s="45"/>
      <c r="W158" s="24"/>
      <c r="X158" s="24"/>
      <c r="Y158" s="24"/>
      <c r="Z158" s="24"/>
      <c r="AA158" s="24"/>
      <c r="AB158" s="45"/>
      <c r="AC158" s="45"/>
      <c r="AD158" s="45"/>
      <c r="AE158" s="45"/>
      <c r="AF158" s="45"/>
      <c r="AG158" s="45"/>
      <c r="AI158" s="25" t="e">
        <f t="shared" si="242"/>
        <v>#DIV/0!</v>
      </c>
      <c r="AJ158" s="75">
        <f t="shared" si="281"/>
        <v>0</v>
      </c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  <c r="AY158" s="75"/>
      <c r="AZ158" s="75"/>
      <c r="BA158" s="75"/>
      <c r="BB158" s="75"/>
      <c r="BC158" s="75"/>
      <c r="BD158" s="75"/>
      <c r="BE158" s="25" t="e">
        <f t="shared" si="243"/>
        <v>#DIV/0!</v>
      </c>
      <c r="BF158" s="75">
        <f t="shared" si="282"/>
        <v>0</v>
      </c>
      <c r="BG158" s="75">
        <f t="shared" si="248"/>
        <v>0</v>
      </c>
      <c r="BH158" s="75">
        <f t="shared" si="249"/>
        <v>0</v>
      </c>
      <c r="BI158" s="75"/>
      <c r="BJ158" s="75">
        <f t="shared" si="246"/>
        <v>0</v>
      </c>
      <c r="BK158" s="75">
        <f t="shared" si="250"/>
        <v>0</v>
      </c>
      <c r="BL158" s="75">
        <f t="shared" si="251"/>
        <v>0</v>
      </c>
      <c r="BM158" s="75">
        <f t="shared" si="252"/>
        <v>0</v>
      </c>
      <c r="BN158" s="75"/>
      <c r="BO158" s="75">
        <f t="shared" si="253"/>
        <v>0</v>
      </c>
      <c r="BP158" s="75">
        <f t="shared" si="254"/>
        <v>0</v>
      </c>
      <c r="BQ158" s="75">
        <f t="shared" si="255"/>
        <v>0</v>
      </c>
      <c r="BR158" s="75">
        <f t="shared" si="256"/>
        <v>0</v>
      </c>
      <c r="BS158" s="75">
        <f t="shared" si="257"/>
        <v>0</v>
      </c>
      <c r="BT158" s="75">
        <f t="shared" si="258"/>
        <v>0</v>
      </c>
      <c r="BU158" s="75">
        <f t="shared" si="259"/>
        <v>0</v>
      </c>
      <c r="BV158" s="75">
        <f t="shared" si="260"/>
        <v>0</v>
      </c>
      <c r="BW158" s="75">
        <f t="shared" si="261"/>
        <v>0</v>
      </c>
      <c r="BX158" s="75"/>
      <c r="BY158" s="75">
        <f t="shared" si="262"/>
        <v>0</v>
      </c>
      <c r="BZ158" s="75">
        <f t="shared" si="263"/>
        <v>0</v>
      </c>
      <c r="CA158" s="25" t="e">
        <f t="shared" si="244"/>
        <v>#DIV/0!</v>
      </c>
      <c r="CB158" s="75">
        <f t="shared" si="283"/>
        <v>0</v>
      </c>
      <c r="CC158" s="75"/>
      <c r="CD158" s="75"/>
      <c r="CE158" s="75"/>
      <c r="CF158" s="75"/>
      <c r="CG158" s="75"/>
      <c r="CH158" s="75"/>
      <c r="CI158" s="75"/>
      <c r="CJ158" s="75"/>
      <c r="CK158" s="75"/>
      <c r="CL158" s="75"/>
      <c r="CM158" s="75"/>
      <c r="CN158" s="75"/>
      <c r="CO158" s="75"/>
      <c r="CP158" s="75"/>
      <c r="CQ158" s="75"/>
      <c r="CR158" s="75"/>
      <c r="CS158" s="75"/>
      <c r="CT158" s="75"/>
      <c r="CU158" s="75"/>
      <c r="CV158" s="75"/>
      <c r="CW158" s="25" t="e">
        <f t="shared" si="245"/>
        <v>#DIV/0!</v>
      </c>
      <c r="CX158" s="75">
        <f t="shared" si="284"/>
        <v>0</v>
      </c>
      <c r="CY158" s="75"/>
      <c r="CZ158" s="75">
        <f>O158-CD158</f>
        <v>0</v>
      </c>
      <c r="DA158" s="75">
        <f>P158-CE158</f>
        <v>0</v>
      </c>
      <c r="DB158" s="75">
        <f t="shared" si="247"/>
        <v>0</v>
      </c>
      <c r="DC158" s="75">
        <f t="shared" si="264"/>
        <v>0</v>
      </c>
      <c r="DD158" s="75">
        <f t="shared" si="265"/>
        <v>0</v>
      </c>
      <c r="DE158" s="75">
        <f t="shared" si="266"/>
        <v>0</v>
      </c>
      <c r="DF158" s="75"/>
      <c r="DG158" s="75">
        <f t="shared" si="267"/>
        <v>0</v>
      </c>
      <c r="DH158" s="75">
        <f t="shared" si="268"/>
        <v>0</v>
      </c>
      <c r="DI158" s="75"/>
      <c r="DJ158" s="75">
        <f t="shared" si="269"/>
        <v>0</v>
      </c>
      <c r="DK158" s="75">
        <f t="shared" si="270"/>
        <v>0</v>
      </c>
      <c r="DL158" s="75">
        <f t="shared" si="271"/>
        <v>0</v>
      </c>
      <c r="DM158" s="75">
        <f t="shared" si="272"/>
        <v>0</v>
      </c>
      <c r="DN158" s="75">
        <f t="shared" si="273"/>
        <v>0</v>
      </c>
      <c r="DO158" s="75">
        <f t="shared" si="274"/>
        <v>0</v>
      </c>
      <c r="DP158" s="75">
        <f t="shared" si="275"/>
        <v>0</v>
      </c>
      <c r="DQ158" s="75">
        <f t="shared" si="277"/>
        <v>0</v>
      </c>
      <c r="DR158" s="75">
        <f t="shared" si="276"/>
        <v>0</v>
      </c>
    </row>
    <row r="159" spans="1:122" ht="32.25" customHeight="1" x14ac:dyDescent="0.25">
      <c r="A159" s="246"/>
      <c r="B159" s="85"/>
      <c r="C159" s="86" t="s">
        <v>81</v>
      </c>
      <c r="D159" s="81" t="s">
        <v>80</v>
      </c>
      <c r="E159" s="80">
        <v>211</v>
      </c>
      <c r="F159" s="78" t="s">
        <v>12</v>
      </c>
      <c r="G159" s="228"/>
      <c r="H159" s="79">
        <f t="shared" si="278"/>
        <v>167851094</v>
      </c>
      <c r="I159" s="79">
        <f t="shared" si="279"/>
        <v>32148906</v>
      </c>
      <c r="J159" s="78"/>
      <c r="K159" s="78"/>
      <c r="L159" s="78"/>
      <c r="M159" s="75">
        <f t="shared" si="280"/>
        <v>200000000</v>
      </c>
      <c r="N159" s="45"/>
      <c r="O159" s="75"/>
      <c r="P159" s="75"/>
      <c r="Q159" s="75">
        <f>300000000-100000000</f>
        <v>200000000</v>
      </c>
      <c r="R159" s="75"/>
      <c r="S159" s="75"/>
      <c r="T159" s="75">
        <f>300000000-300000000</f>
        <v>0</v>
      </c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25">
        <f t="shared" si="242"/>
        <v>0.91226552000000005</v>
      </c>
      <c r="AJ159" s="75">
        <f t="shared" si="281"/>
        <v>182453104</v>
      </c>
      <c r="AK159" s="75"/>
      <c r="AL159" s="75"/>
      <c r="AM159" s="75"/>
      <c r="AN159" s="75">
        <f>+'[2]JULIO 2015'!$M$293</f>
        <v>182453104</v>
      </c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  <c r="BA159" s="75"/>
      <c r="BB159" s="75"/>
      <c r="BC159" s="75"/>
      <c r="BD159" s="75"/>
      <c r="BE159" s="25">
        <f t="shared" si="243"/>
        <v>8.7734479999999948E-2</v>
      </c>
      <c r="BF159" s="75">
        <f t="shared" si="282"/>
        <v>17546896</v>
      </c>
      <c r="BG159" s="75">
        <f t="shared" si="248"/>
        <v>0</v>
      </c>
      <c r="BH159" s="75">
        <f t="shared" si="249"/>
        <v>0</v>
      </c>
      <c r="BI159" s="75"/>
      <c r="BJ159" s="75">
        <f t="shared" si="246"/>
        <v>17546896</v>
      </c>
      <c r="BK159" s="75">
        <f t="shared" si="250"/>
        <v>0</v>
      </c>
      <c r="BL159" s="75">
        <f t="shared" si="251"/>
        <v>0</v>
      </c>
      <c r="BM159" s="75">
        <f t="shared" si="252"/>
        <v>0</v>
      </c>
      <c r="BN159" s="75"/>
      <c r="BO159" s="75">
        <f t="shared" si="253"/>
        <v>0</v>
      </c>
      <c r="BP159" s="75">
        <f t="shared" si="254"/>
        <v>0</v>
      </c>
      <c r="BQ159" s="75">
        <f t="shared" si="255"/>
        <v>0</v>
      </c>
      <c r="BR159" s="75">
        <f t="shared" si="256"/>
        <v>0</v>
      </c>
      <c r="BS159" s="75">
        <f t="shared" si="257"/>
        <v>0</v>
      </c>
      <c r="BT159" s="75">
        <f t="shared" si="258"/>
        <v>0</v>
      </c>
      <c r="BU159" s="75">
        <f t="shared" si="259"/>
        <v>0</v>
      </c>
      <c r="BV159" s="75">
        <f t="shared" si="260"/>
        <v>0</v>
      </c>
      <c r="BW159" s="75">
        <f t="shared" si="261"/>
        <v>0</v>
      </c>
      <c r="BX159" s="75"/>
      <c r="BY159" s="75">
        <f t="shared" si="262"/>
        <v>0</v>
      </c>
      <c r="BZ159" s="75">
        <f t="shared" si="263"/>
        <v>0</v>
      </c>
      <c r="CA159" s="25">
        <f t="shared" si="244"/>
        <v>0.83925547</v>
      </c>
      <c r="CB159" s="75">
        <f t="shared" si="283"/>
        <v>167851094</v>
      </c>
      <c r="CC159" s="75"/>
      <c r="CD159" s="75"/>
      <c r="CE159" s="75"/>
      <c r="CF159" s="75">
        <f>+'[1]AGOSTO 2015'!$H$305</f>
        <v>167851094</v>
      </c>
      <c r="CG159" s="75"/>
      <c r="CH159" s="75"/>
      <c r="CI159" s="75"/>
      <c r="CJ159" s="75"/>
      <c r="CK159" s="75"/>
      <c r="CL159" s="75"/>
      <c r="CM159" s="75"/>
      <c r="CN159" s="75"/>
      <c r="CO159" s="75"/>
      <c r="CP159" s="75"/>
      <c r="CQ159" s="75"/>
      <c r="CR159" s="75"/>
      <c r="CS159" s="75"/>
      <c r="CT159" s="75"/>
      <c r="CU159" s="75"/>
      <c r="CV159" s="75"/>
      <c r="CW159" s="25">
        <f t="shared" si="245"/>
        <v>0.16074453</v>
      </c>
      <c r="CX159" s="75">
        <f t="shared" si="284"/>
        <v>32148906</v>
      </c>
      <c r="CY159" s="75"/>
      <c r="CZ159" s="75"/>
      <c r="DA159" s="75"/>
      <c r="DB159" s="75">
        <f t="shared" si="247"/>
        <v>32148906</v>
      </c>
      <c r="DC159" s="75">
        <f t="shared" si="264"/>
        <v>0</v>
      </c>
      <c r="DD159" s="75">
        <f t="shared" si="265"/>
        <v>0</v>
      </c>
      <c r="DE159" s="75">
        <f t="shared" si="266"/>
        <v>0</v>
      </c>
      <c r="DF159" s="75"/>
      <c r="DG159" s="75">
        <f t="shared" si="267"/>
        <v>0</v>
      </c>
      <c r="DH159" s="75">
        <f t="shared" si="268"/>
        <v>0</v>
      </c>
      <c r="DI159" s="75"/>
      <c r="DJ159" s="75">
        <f t="shared" si="269"/>
        <v>0</v>
      </c>
      <c r="DK159" s="75">
        <f t="shared" si="270"/>
        <v>0</v>
      </c>
      <c r="DL159" s="75">
        <f t="shared" si="271"/>
        <v>0</v>
      </c>
      <c r="DM159" s="75">
        <f t="shared" si="272"/>
        <v>0</v>
      </c>
      <c r="DN159" s="75">
        <f t="shared" si="273"/>
        <v>0</v>
      </c>
      <c r="DO159" s="75">
        <f t="shared" si="274"/>
        <v>0</v>
      </c>
      <c r="DP159" s="75">
        <f t="shared" si="275"/>
        <v>0</v>
      </c>
      <c r="DQ159" s="75">
        <f t="shared" si="277"/>
        <v>0</v>
      </c>
      <c r="DR159" s="75">
        <f t="shared" si="276"/>
        <v>0</v>
      </c>
    </row>
    <row r="160" spans="1:122" ht="55.5" customHeight="1" x14ac:dyDescent="0.25">
      <c r="A160" s="246"/>
      <c r="B160" s="85"/>
      <c r="C160" s="86" t="s">
        <v>79</v>
      </c>
      <c r="D160" s="81" t="s">
        <v>78</v>
      </c>
      <c r="E160" s="80">
        <v>211</v>
      </c>
      <c r="F160" s="78" t="s">
        <v>77</v>
      </c>
      <c r="G160" s="228"/>
      <c r="H160" s="79">
        <f t="shared" si="278"/>
        <v>160606305</v>
      </c>
      <c r="I160" s="79">
        <f t="shared" si="279"/>
        <v>371983529</v>
      </c>
      <c r="J160" s="78"/>
      <c r="K160" s="78"/>
      <c r="L160" s="78"/>
      <c r="M160" s="75">
        <f t="shared" si="280"/>
        <v>532589834</v>
      </c>
      <c r="N160" s="45"/>
      <c r="O160" s="75"/>
      <c r="P160" s="75"/>
      <c r="Q160" s="75">
        <f>200000000+194000000-116541544+210000000</f>
        <v>487458456</v>
      </c>
      <c r="R160" s="75"/>
      <c r="S160" s="75"/>
      <c r="T160" s="75">
        <f>194000000-194000000</f>
        <v>0</v>
      </c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>
        <f>45131378</f>
        <v>45131378</v>
      </c>
      <c r="AH160" s="75"/>
      <c r="AI160" s="25">
        <f t="shared" si="242"/>
        <v>0.57725453693132267</v>
      </c>
      <c r="AJ160" s="75">
        <f t="shared" si="281"/>
        <v>307439898</v>
      </c>
      <c r="AK160" s="75"/>
      <c r="AL160" s="75"/>
      <c r="AM160" s="75"/>
      <c r="AN160" s="75">
        <f>+'[1]AGOSTO 2015'!$M$321</f>
        <v>262308520</v>
      </c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>
        <f>+'[2]JULIO 2015'!$AD$306</f>
        <v>45131378</v>
      </c>
      <c r="BE160" s="25">
        <f t="shared" si="243"/>
        <v>0.42274546306867733</v>
      </c>
      <c r="BF160" s="75">
        <f t="shared" si="282"/>
        <v>225149936</v>
      </c>
      <c r="BG160" s="75">
        <f t="shared" si="248"/>
        <v>0</v>
      </c>
      <c r="BH160" s="75">
        <f t="shared" si="249"/>
        <v>0</v>
      </c>
      <c r="BI160" s="75"/>
      <c r="BJ160" s="75">
        <f t="shared" si="246"/>
        <v>225149936</v>
      </c>
      <c r="BK160" s="75">
        <f t="shared" si="250"/>
        <v>0</v>
      </c>
      <c r="BL160" s="75">
        <f t="shared" si="251"/>
        <v>0</v>
      </c>
      <c r="BM160" s="75">
        <f t="shared" si="252"/>
        <v>0</v>
      </c>
      <c r="BN160" s="75"/>
      <c r="BO160" s="75">
        <f t="shared" si="253"/>
        <v>0</v>
      </c>
      <c r="BP160" s="75">
        <f t="shared" si="254"/>
        <v>0</v>
      </c>
      <c r="BQ160" s="75">
        <f t="shared" si="255"/>
        <v>0</v>
      </c>
      <c r="BR160" s="75">
        <f t="shared" si="256"/>
        <v>0</v>
      </c>
      <c r="BS160" s="75">
        <f t="shared" si="257"/>
        <v>0</v>
      </c>
      <c r="BT160" s="75">
        <f t="shared" si="258"/>
        <v>0</v>
      </c>
      <c r="BU160" s="75">
        <f t="shared" si="259"/>
        <v>0</v>
      </c>
      <c r="BV160" s="75">
        <f t="shared" si="260"/>
        <v>0</v>
      </c>
      <c r="BW160" s="75">
        <f t="shared" si="261"/>
        <v>0</v>
      </c>
      <c r="BX160" s="75"/>
      <c r="BY160" s="75">
        <f t="shared" si="262"/>
        <v>0</v>
      </c>
      <c r="BZ160" s="75">
        <f t="shared" si="263"/>
        <v>0</v>
      </c>
      <c r="CA160" s="25">
        <f t="shared" si="244"/>
        <v>0.30155721109764932</v>
      </c>
      <c r="CB160" s="75">
        <f t="shared" si="283"/>
        <v>160606305</v>
      </c>
      <c r="CC160" s="75"/>
      <c r="CD160" s="75"/>
      <c r="CE160" s="75"/>
      <c r="CF160" s="75">
        <f>+'[1]AGOSTO 2015'!$H$322+'[1]AGOSTO 2015'!$H$328+'[1]AGOSTO 2015'!$H$330+'[1]AGOSTO 2015'!$H$335</f>
        <v>149011305</v>
      </c>
      <c r="CG160" s="75"/>
      <c r="CH160" s="75"/>
      <c r="CI160" s="75"/>
      <c r="CJ160" s="75"/>
      <c r="CK160" s="75"/>
      <c r="CL160" s="75"/>
      <c r="CM160" s="75"/>
      <c r="CN160" s="75"/>
      <c r="CO160" s="75"/>
      <c r="CP160" s="75"/>
      <c r="CQ160" s="75"/>
      <c r="CR160" s="75"/>
      <c r="CS160" s="75"/>
      <c r="CT160" s="75"/>
      <c r="CU160" s="75"/>
      <c r="CV160" s="75">
        <f>+'[1]AGOSTO 2015'!$H$325+'[1]AGOSTO 2015'!$H$333</f>
        <v>11595000</v>
      </c>
      <c r="CW160" s="25">
        <f t="shared" si="245"/>
        <v>0.69844278890235068</v>
      </c>
      <c r="CX160" s="75">
        <f t="shared" si="284"/>
        <v>371983529</v>
      </c>
      <c r="CY160" s="75"/>
      <c r="CZ160" s="75"/>
      <c r="DA160" s="75"/>
      <c r="DB160" s="75">
        <f t="shared" si="247"/>
        <v>338447151</v>
      </c>
      <c r="DC160" s="75">
        <f t="shared" si="264"/>
        <v>0</v>
      </c>
      <c r="DD160" s="75">
        <f t="shared" si="265"/>
        <v>0</v>
      </c>
      <c r="DE160" s="75">
        <f t="shared" si="266"/>
        <v>0</v>
      </c>
      <c r="DF160" s="75"/>
      <c r="DG160" s="75">
        <f t="shared" si="267"/>
        <v>0</v>
      </c>
      <c r="DH160" s="75">
        <f t="shared" si="268"/>
        <v>0</v>
      </c>
      <c r="DI160" s="75"/>
      <c r="DJ160" s="75">
        <f t="shared" si="269"/>
        <v>0</v>
      </c>
      <c r="DK160" s="75">
        <f t="shared" si="270"/>
        <v>0</v>
      </c>
      <c r="DL160" s="75">
        <f t="shared" si="271"/>
        <v>0</v>
      </c>
      <c r="DM160" s="75">
        <f t="shared" si="272"/>
        <v>0</v>
      </c>
      <c r="DN160" s="75">
        <f t="shared" si="273"/>
        <v>0</v>
      </c>
      <c r="DO160" s="75">
        <f t="shared" si="274"/>
        <v>0</v>
      </c>
      <c r="DP160" s="75">
        <f t="shared" si="275"/>
        <v>0</v>
      </c>
      <c r="DQ160" s="75">
        <f t="shared" si="277"/>
        <v>0</v>
      </c>
      <c r="DR160" s="75">
        <f t="shared" si="276"/>
        <v>33536378</v>
      </c>
    </row>
    <row r="161" spans="1:122" ht="36" customHeight="1" x14ac:dyDescent="0.25">
      <c r="A161" s="246"/>
      <c r="B161" s="85"/>
      <c r="C161" s="86" t="s">
        <v>76</v>
      </c>
      <c r="D161" s="81" t="s">
        <v>75</v>
      </c>
      <c r="E161" s="80">
        <v>211</v>
      </c>
      <c r="F161" s="78" t="s">
        <v>74</v>
      </c>
      <c r="G161" s="228"/>
      <c r="H161" s="79">
        <f t="shared" si="278"/>
        <v>3525240</v>
      </c>
      <c r="I161" s="79">
        <f t="shared" si="279"/>
        <v>4474760</v>
      </c>
      <c r="J161" s="78"/>
      <c r="K161" s="78"/>
      <c r="L161" s="78"/>
      <c r="M161" s="75">
        <f t="shared" si="280"/>
        <v>8000000</v>
      </c>
      <c r="N161" s="4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>
        <f>6000000+2000000</f>
        <v>8000000</v>
      </c>
      <c r="AH161" s="75"/>
      <c r="AI161" s="25">
        <f t="shared" si="242"/>
        <v>0.44065500000000002</v>
      </c>
      <c r="AJ161" s="75">
        <f t="shared" si="281"/>
        <v>3525240</v>
      </c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>
        <f>+'[1]AGOSTO 2015'!$AD$339</f>
        <v>3525240</v>
      </c>
      <c r="BE161" s="25">
        <f t="shared" si="243"/>
        <v>0.55934499999999998</v>
      </c>
      <c r="BF161" s="75">
        <f t="shared" si="282"/>
        <v>4474760</v>
      </c>
      <c r="BG161" s="75">
        <f t="shared" si="248"/>
        <v>0</v>
      </c>
      <c r="BH161" s="75">
        <f t="shared" si="249"/>
        <v>0</v>
      </c>
      <c r="BI161" s="75"/>
      <c r="BJ161" s="75">
        <f t="shared" si="246"/>
        <v>0</v>
      </c>
      <c r="BK161" s="75">
        <f t="shared" si="250"/>
        <v>0</v>
      </c>
      <c r="BL161" s="75">
        <f t="shared" si="251"/>
        <v>0</v>
      </c>
      <c r="BM161" s="75">
        <f t="shared" si="252"/>
        <v>0</v>
      </c>
      <c r="BN161" s="75"/>
      <c r="BO161" s="75">
        <f t="shared" si="253"/>
        <v>0</v>
      </c>
      <c r="BP161" s="75">
        <f t="shared" si="254"/>
        <v>0</v>
      </c>
      <c r="BQ161" s="75">
        <f t="shared" si="255"/>
        <v>0</v>
      </c>
      <c r="BR161" s="75">
        <f t="shared" si="256"/>
        <v>0</v>
      </c>
      <c r="BS161" s="75">
        <f t="shared" si="257"/>
        <v>0</v>
      </c>
      <c r="BT161" s="75">
        <f t="shared" si="258"/>
        <v>0</v>
      </c>
      <c r="BU161" s="75">
        <f t="shared" si="259"/>
        <v>0</v>
      </c>
      <c r="BV161" s="75">
        <f t="shared" si="260"/>
        <v>0</v>
      </c>
      <c r="BW161" s="75">
        <f t="shared" si="261"/>
        <v>0</v>
      </c>
      <c r="BX161" s="75"/>
      <c r="BY161" s="75">
        <f t="shared" si="262"/>
        <v>0</v>
      </c>
      <c r="BZ161" s="75">
        <f t="shared" si="263"/>
        <v>4474760</v>
      </c>
      <c r="CA161" s="25">
        <f t="shared" si="244"/>
        <v>0.44065500000000002</v>
      </c>
      <c r="CB161" s="75">
        <f t="shared" si="283"/>
        <v>3525240</v>
      </c>
      <c r="CC161" s="75"/>
      <c r="CD161" s="75"/>
      <c r="CE161" s="75"/>
      <c r="CF161" s="75"/>
      <c r="CG161" s="75"/>
      <c r="CH161" s="75"/>
      <c r="CI161" s="75"/>
      <c r="CJ161" s="75"/>
      <c r="CK161" s="75"/>
      <c r="CL161" s="75"/>
      <c r="CM161" s="75"/>
      <c r="CN161" s="75"/>
      <c r="CO161" s="75"/>
      <c r="CP161" s="75"/>
      <c r="CQ161" s="75"/>
      <c r="CR161" s="75"/>
      <c r="CS161" s="75"/>
      <c r="CT161" s="75"/>
      <c r="CU161" s="75"/>
      <c r="CV161" s="75">
        <f>+'[5]FEBRERO 2015'!$H$228</f>
        <v>3525240</v>
      </c>
      <c r="CW161" s="25">
        <f t="shared" si="245"/>
        <v>0.55934499999999998</v>
      </c>
      <c r="CX161" s="75">
        <f t="shared" si="284"/>
        <v>4474760</v>
      </c>
      <c r="CY161" s="75"/>
      <c r="CZ161" s="75"/>
      <c r="DA161" s="75"/>
      <c r="DB161" s="75">
        <f t="shared" si="247"/>
        <v>0</v>
      </c>
      <c r="DC161" s="75">
        <f t="shared" si="264"/>
        <v>0</v>
      </c>
      <c r="DD161" s="75">
        <f t="shared" si="265"/>
        <v>0</v>
      </c>
      <c r="DE161" s="75">
        <f t="shared" si="266"/>
        <v>0</v>
      </c>
      <c r="DF161" s="75"/>
      <c r="DG161" s="75">
        <f t="shared" si="267"/>
        <v>0</v>
      </c>
      <c r="DH161" s="75">
        <f t="shared" si="268"/>
        <v>0</v>
      </c>
      <c r="DI161" s="75"/>
      <c r="DJ161" s="75">
        <f t="shared" si="269"/>
        <v>0</v>
      </c>
      <c r="DK161" s="75">
        <f t="shared" si="270"/>
        <v>0</v>
      </c>
      <c r="DL161" s="75">
        <f t="shared" si="271"/>
        <v>0</v>
      </c>
      <c r="DM161" s="75">
        <f t="shared" si="272"/>
        <v>0</v>
      </c>
      <c r="DN161" s="75">
        <f t="shared" si="273"/>
        <v>0</v>
      </c>
      <c r="DO161" s="75">
        <f t="shared" si="274"/>
        <v>0</v>
      </c>
      <c r="DP161" s="75">
        <f t="shared" si="275"/>
        <v>0</v>
      </c>
      <c r="DQ161" s="75">
        <f t="shared" si="277"/>
        <v>0</v>
      </c>
      <c r="DR161" s="75">
        <f t="shared" si="276"/>
        <v>4474760</v>
      </c>
    </row>
    <row r="162" spans="1:122" ht="29.25" customHeight="1" x14ac:dyDescent="0.25">
      <c r="A162" s="246"/>
      <c r="B162" s="85"/>
      <c r="C162" s="86" t="s">
        <v>73</v>
      </c>
      <c r="D162" s="81" t="s">
        <v>72</v>
      </c>
      <c r="E162" s="80">
        <v>211</v>
      </c>
      <c r="F162" s="78" t="s">
        <v>12</v>
      </c>
      <c r="G162" s="228"/>
      <c r="H162" s="79">
        <f t="shared" si="278"/>
        <v>216712707</v>
      </c>
      <c r="I162" s="79">
        <f t="shared" si="279"/>
        <v>98817745</v>
      </c>
      <c r="J162" s="78"/>
      <c r="K162" s="78"/>
      <c r="L162" s="78"/>
      <c r="M162" s="75">
        <f t="shared" si="280"/>
        <v>315530452</v>
      </c>
      <c r="N162" s="45"/>
      <c r="O162" s="45"/>
      <c r="P162" s="45"/>
      <c r="Q162" s="75">
        <v>80000000</v>
      </c>
      <c r="R162" s="45"/>
      <c r="S162" s="75">
        <v>210000000</v>
      </c>
      <c r="T162" s="75"/>
      <c r="U162" s="75"/>
      <c r="V162" s="75"/>
      <c r="W162" s="75"/>
      <c r="X162" s="75"/>
      <c r="Y162" s="75"/>
      <c r="Z162" s="75"/>
      <c r="AA162" s="75"/>
      <c r="AB162" s="75"/>
      <c r="AC162" s="75">
        <v>25530452</v>
      </c>
      <c r="AD162" s="75"/>
      <c r="AE162" s="75"/>
      <c r="AF162" s="75"/>
      <c r="AG162" s="75"/>
      <c r="AH162" s="75"/>
      <c r="AI162" s="25">
        <f t="shared" si="242"/>
        <v>0.74645870313652007</v>
      </c>
      <c r="AJ162" s="75">
        <f t="shared" si="281"/>
        <v>235530452</v>
      </c>
      <c r="AK162" s="75"/>
      <c r="AL162" s="75"/>
      <c r="AM162" s="75"/>
      <c r="AN162" s="75"/>
      <c r="AO162" s="75"/>
      <c r="AP162" s="75">
        <f>+'[6]JUNIO 2015'!$O$297</f>
        <v>210000000</v>
      </c>
      <c r="AQ162" s="75"/>
      <c r="AR162" s="75"/>
      <c r="AS162" s="75"/>
      <c r="AT162" s="75"/>
      <c r="AU162" s="75"/>
      <c r="AV162" s="75"/>
      <c r="AW162" s="75"/>
      <c r="AX162" s="75"/>
      <c r="AY162" s="75"/>
      <c r="AZ162" s="75">
        <f>+'[6]JUNIO 2015'!$Y$297</f>
        <v>25530452</v>
      </c>
      <c r="BA162" s="75"/>
      <c r="BB162" s="75"/>
      <c r="BC162" s="75"/>
      <c r="BD162" s="75"/>
      <c r="BE162" s="25">
        <f t="shared" si="243"/>
        <v>0.25354129686347993</v>
      </c>
      <c r="BF162" s="75">
        <f t="shared" si="282"/>
        <v>80000000</v>
      </c>
      <c r="BG162" s="75">
        <f t="shared" si="248"/>
        <v>0</v>
      </c>
      <c r="BH162" s="75">
        <f t="shared" si="249"/>
        <v>0</v>
      </c>
      <c r="BI162" s="75"/>
      <c r="BJ162" s="75">
        <f t="shared" si="246"/>
        <v>80000000</v>
      </c>
      <c r="BK162" s="75">
        <f t="shared" si="250"/>
        <v>0</v>
      </c>
      <c r="BL162" s="75">
        <f t="shared" si="251"/>
        <v>0</v>
      </c>
      <c r="BM162" s="75">
        <f t="shared" si="252"/>
        <v>0</v>
      </c>
      <c r="BN162" s="75"/>
      <c r="BO162" s="75">
        <f t="shared" si="253"/>
        <v>0</v>
      </c>
      <c r="BP162" s="75">
        <f t="shared" si="254"/>
        <v>0</v>
      </c>
      <c r="BQ162" s="75">
        <f t="shared" si="255"/>
        <v>0</v>
      </c>
      <c r="BR162" s="75">
        <f t="shared" si="256"/>
        <v>0</v>
      </c>
      <c r="BS162" s="75">
        <f t="shared" si="257"/>
        <v>0</v>
      </c>
      <c r="BT162" s="75">
        <f t="shared" si="258"/>
        <v>0</v>
      </c>
      <c r="BU162" s="75">
        <f t="shared" si="259"/>
        <v>0</v>
      </c>
      <c r="BV162" s="75">
        <f t="shared" si="260"/>
        <v>0</v>
      </c>
      <c r="BW162" s="75">
        <f t="shared" si="261"/>
        <v>0</v>
      </c>
      <c r="BX162" s="75"/>
      <c r="BY162" s="75">
        <f t="shared" si="262"/>
        <v>0</v>
      </c>
      <c r="BZ162" s="75">
        <f t="shared" si="263"/>
        <v>0</v>
      </c>
      <c r="CA162" s="25">
        <f t="shared" si="244"/>
        <v>0.68682025974469174</v>
      </c>
      <c r="CB162" s="75">
        <f t="shared" si="283"/>
        <v>216712707</v>
      </c>
      <c r="CC162" s="75"/>
      <c r="CD162" s="75"/>
      <c r="CE162" s="75"/>
      <c r="CF162" s="75"/>
      <c r="CG162" s="75"/>
      <c r="CH162" s="75">
        <f>+'[2]JULIO 2015'!$H$332+'[2]JULIO 2015'!$H$347</f>
        <v>208736238</v>
      </c>
      <c r="CI162" s="75"/>
      <c r="CJ162" s="75"/>
      <c r="CK162" s="75"/>
      <c r="CL162" s="75"/>
      <c r="CM162" s="75"/>
      <c r="CN162" s="75"/>
      <c r="CO162" s="75"/>
      <c r="CP162" s="75"/>
      <c r="CQ162" s="75"/>
      <c r="CR162" s="75">
        <f>+'[2]JULIO 2015'!$H$358</f>
        <v>7976469</v>
      </c>
      <c r="CS162" s="75"/>
      <c r="CT162" s="75"/>
      <c r="CU162" s="75"/>
      <c r="CV162" s="75"/>
      <c r="CW162" s="25">
        <f t="shared" si="245"/>
        <v>0.31317974025530826</v>
      </c>
      <c r="CX162" s="75">
        <f t="shared" si="284"/>
        <v>98817745</v>
      </c>
      <c r="CY162" s="75"/>
      <c r="CZ162" s="75"/>
      <c r="DA162" s="75"/>
      <c r="DB162" s="75">
        <f t="shared" si="247"/>
        <v>80000000</v>
      </c>
      <c r="DC162" s="75">
        <f t="shared" si="264"/>
        <v>0</v>
      </c>
      <c r="DD162" s="75">
        <f t="shared" si="265"/>
        <v>1263762</v>
      </c>
      <c r="DE162" s="75">
        <f t="shared" si="266"/>
        <v>0</v>
      </c>
      <c r="DF162" s="75"/>
      <c r="DG162" s="75">
        <f t="shared" si="267"/>
        <v>0</v>
      </c>
      <c r="DH162" s="75">
        <f t="shared" si="268"/>
        <v>0</v>
      </c>
      <c r="DI162" s="75"/>
      <c r="DJ162" s="75">
        <f t="shared" si="269"/>
        <v>0</v>
      </c>
      <c r="DK162" s="75">
        <f t="shared" si="270"/>
        <v>0</v>
      </c>
      <c r="DL162" s="75">
        <f t="shared" si="271"/>
        <v>0</v>
      </c>
      <c r="DM162" s="75">
        <f t="shared" si="272"/>
        <v>0</v>
      </c>
      <c r="DN162" s="75">
        <f t="shared" si="273"/>
        <v>17553983</v>
      </c>
      <c r="DO162" s="75">
        <f t="shared" si="274"/>
        <v>0</v>
      </c>
      <c r="DP162" s="75">
        <f t="shared" si="275"/>
        <v>0</v>
      </c>
      <c r="DQ162" s="75">
        <f t="shared" si="277"/>
        <v>0</v>
      </c>
      <c r="DR162" s="75">
        <f t="shared" si="276"/>
        <v>0</v>
      </c>
    </row>
    <row r="163" spans="1:122" ht="35.25" customHeight="1" x14ac:dyDescent="0.25">
      <c r="A163" s="246"/>
      <c r="B163" s="85"/>
      <c r="C163" s="86" t="s">
        <v>71</v>
      </c>
      <c r="D163" s="81" t="s">
        <v>70</v>
      </c>
      <c r="E163" s="80">
        <v>211</v>
      </c>
      <c r="F163" s="78" t="s">
        <v>69</v>
      </c>
      <c r="G163" s="228"/>
      <c r="H163" s="79">
        <f t="shared" si="278"/>
        <v>0</v>
      </c>
      <c r="I163" s="79">
        <f t="shared" si="279"/>
        <v>5000000</v>
      </c>
      <c r="J163" s="78"/>
      <c r="K163" s="78"/>
      <c r="L163" s="78"/>
      <c r="M163" s="75">
        <f t="shared" si="280"/>
        <v>5000000</v>
      </c>
      <c r="N163" s="45"/>
      <c r="O163" s="45"/>
      <c r="P163" s="45"/>
      <c r="Q163" s="45">
        <f>97849888-97849888</f>
        <v>0</v>
      </c>
      <c r="R163" s="45"/>
      <c r="S163" s="75"/>
      <c r="T163" s="75">
        <f>97849888-97849888</f>
        <v>0</v>
      </c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>
        <f>5000000</f>
        <v>5000000</v>
      </c>
      <c r="AH163" s="75"/>
      <c r="AI163" s="25">
        <f t="shared" si="242"/>
        <v>1</v>
      </c>
      <c r="AJ163" s="75">
        <f t="shared" si="281"/>
        <v>5000000</v>
      </c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>
        <f>+'[2]JULIO 2015'!$AD$363</f>
        <v>5000000</v>
      </c>
      <c r="BE163" s="25">
        <f t="shared" si="243"/>
        <v>0</v>
      </c>
      <c r="BF163" s="75">
        <f t="shared" si="282"/>
        <v>0</v>
      </c>
      <c r="BG163" s="75">
        <f t="shared" si="248"/>
        <v>0</v>
      </c>
      <c r="BH163" s="75">
        <f t="shared" si="249"/>
        <v>0</v>
      </c>
      <c r="BI163" s="75"/>
      <c r="BJ163" s="75">
        <f t="shared" si="246"/>
        <v>0</v>
      </c>
      <c r="BK163" s="75">
        <f t="shared" si="250"/>
        <v>0</v>
      </c>
      <c r="BL163" s="75">
        <f t="shared" si="251"/>
        <v>0</v>
      </c>
      <c r="BM163" s="75">
        <f t="shared" si="252"/>
        <v>0</v>
      </c>
      <c r="BN163" s="75"/>
      <c r="BO163" s="75">
        <f t="shared" si="253"/>
        <v>0</v>
      </c>
      <c r="BP163" s="75">
        <f t="shared" si="254"/>
        <v>0</v>
      </c>
      <c r="BQ163" s="75">
        <f t="shared" si="255"/>
        <v>0</v>
      </c>
      <c r="BR163" s="75">
        <f t="shared" si="256"/>
        <v>0</v>
      </c>
      <c r="BS163" s="75">
        <f t="shared" si="257"/>
        <v>0</v>
      </c>
      <c r="BT163" s="75">
        <f t="shared" si="258"/>
        <v>0</v>
      </c>
      <c r="BU163" s="75">
        <f t="shared" si="259"/>
        <v>0</v>
      </c>
      <c r="BV163" s="75">
        <f t="shared" si="260"/>
        <v>0</v>
      </c>
      <c r="BW163" s="75">
        <f t="shared" si="261"/>
        <v>0</v>
      </c>
      <c r="BX163" s="75"/>
      <c r="BY163" s="75">
        <f t="shared" si="262"/>
        <v>0</v>
      </c>
      <c r="BZ163" s="75">
        <f t="shared" si="263"/>
        <v>0</v>
      </c>
      <c r="CA163" s="25">
        <f t="shared" si="244"/>
        <v>0</v>
      </c>
      <c r="CB163" s="75">
        <f t="shared" si="283"/>
        <v>0</v>
      </c>
      <c r="CC163" s="75"/>
      <c r="CD163" s="75"/>
      <c r="CE163" s="75"/>
      <c r="CF163" s="75"/>
      <c r="CG163" s="75"/>
      <c r="CH163" s="75"/>
      <c r="CI163" s="75"/>
      <c r="CJ163" s="75"/>
      <c r="CK163" s="75"/>
      <c r="CL163" s="75"/>
      <c r="CM163" s="75"/>
      <c r="CN163" s="75"/>
      <c r="CO163" s="75"/>
      <c r="CP163" s="75"/>
      <c r="CQ163" s="75"/>
      <c r="CR163" s="75"/>
      <c r="CS163" s="75"/>
      <c r="CT163" s="75"/>
      <c r="CU163" s="75"/>
      <c r="CV163" s="75"/>
      <c r="CW163" s="25">
        <f t="shared" si="245"/>
        <v>1</v>
      </c>
      <c r="CX163" s="75">
        <f t="shared" si="284"/>
        <v>5000000</v>
      </c>
      <c r="CY163" s="75"/>
      <c r="CZ163" s="75"/>
      <c r="DA163" s="75"/>
      <c r="DB163" s="75">
        <f t="shared" si="247"/>
        <v>0</v>
      </c>
      <c r="DC163" s="75">
        <f t="shared" si="264"/>
        <v>0</v>
      </c>
      <c r="DD163" s="75">
        <f t="shared" si="265"/>
        <v>0</v>
      </c>
      <c r="DE163" s="75">
        <f t="shared" si="266"/>
        <v>0</v>
      </c>
      <c r="DF163" s="75"/>
      <c r="DG163" s="75">
        <f t="shared" si="267"/>
        <v>0</v>
      </c>
      <c r="DH163" s="75">
        <f t="shared" si="268"/>
        <v>0</v>
      </c>
      <c r="DI163" s="75"/>
      <c r="DJ163" s="75">
        <f t="shared" si="269"/>
        <v>0</v>
      </c>
      <c r="DK163" s="75">
        <f t="shared" si="270"/>
        <v>0</v>
      </c>
      <c r="DL163" s="75">
        <f t="shared" si="271"/>
        <v>0</v>
      </c>
      <c r="DM163" s="75">
        <f t="shared" si="272"/>
        <v>0</v>
      </c>
      <c r="DN163" s="75">
        <f t="shared" si="273"/>
        <v>0</v>
      </c>
      <c r="DO163" s="75">
        <f t="shared" si="274"/>
        <v>0</v>
      </c>
      <c r="DP163" s="75">
        <f t="shared" si="275"/>
        <v>0</v>
      </c>
      <c r="DQ163" s="75">
        <f t="shared" si="277"/>
        <v>0</v>
      </c>
      <c r="DR163" s="75">
        <f t="shared" si="276"/>
        <v>5000000</v>
      </c>
    </row>
    <row r="164" spans="1:122" ht="51.75" customHeight="1" x14ac:dyDescent="0.25">
      <c r="A164" s="246"/>
      <c r="B164" s="85"/>
      <c r="C164" s="86" t="s">
        <v>68</v>
      </c>
      <c r="D164" s="81" t="s">
        <v>67</v>
      </c>
      <c r="E164" s="80">
        <v>211</v>
      </c>
      <c r="F164" s="78" t="s">
        <v>66</v>
      </c>
      <c r="G164" s="228"/>
      <c r="H164" s="79">
        <f t="shared" si="278"/>
        <v>12240044</v>
      </c>
      <c r="I164" s="79">
        <f t="shared" si="279"/>
        <v>28910068</v>
      </c>
      <c r="J164" s="78"/>
      <c r="K164" s="78"/>
      <c r="L164" s="78"/>
      <c r="M164" s="75">
        <f t="shared" si="280"/>
        <v>41150112</v>
      </c>
      <c r="N164" s="4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>
        <f>8134775+1015337+11000000+21000000</f>
        <v>41150112</v>
      </c>
      <c r="AH164" s="75"/>
      <c r="AI164" s="25">
        <f t="shared" si="242"/>
        <v>0.56256315900185161</v>
      </c>
      <c r="AJ164" s="75">
        <f t="shared" si="281"/>
        <v>23149537</v>
      </c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>
        <f>+'[2]JULIO 2015'!$AD$368</f>
        <v>23149537</v>
      </c>
      <c r="BE164" s="25">
        <f t="shared" si="243"/>
        <v>0.43743684099814839</v>
      </c>
      <c r="BF164" s="75">
        <f t="shared" si="282"/>
        <v>18000575</v>
      </c>
      <c r="BG164" s="75">
        <f t="shared" si="248"/>
        <v>0</v>
      </c>
      <c r="BH164" s="75">
        <f t="shared" si="249"/>
        <v>0</v>
      </c>
      <c r="BI164" s="75"/>
      <c r="BJ164" s="75">
        <f t="shared" si="246"/>
        <v>0</v>
      </c>
      <c r="BK164" s="75">
        <f t="shared" si="250"/>
        <v>0</v>
      </c>
      <c r="BL164" s="75">
        <f t="shared" si="251"/>
        <v>0</v>
      </c>
      <c r="BM164" s="75">
        <f t="shared" si="252"/>
        <v>0</v>
      </c>
      <c r="BN164" s="75"/>
      <c r="BO164" s="75">
        <f t="shared" si="253"/>
        <v>0</v>
      </c>
      <c r="BP164" s="75">
        <f t="shared" si="254"/>
        <v>0</v>
      </c>
      <c r="BQ164" s="75">
        <f t="shared" si="255"/>
        <v>0</v>
      </c>
      <c r="BR164" s="75">
        <f t="shared" si="256"/>
        <v>0</v>
      </c>
      <c r="BS164" s="75">
        <f t="shared" si="257"/>
        <v>0</v>
      </c>
      <c r="BT164" s="75">
        <f t="shared" si="258"/>
        <v>0</v>
      </c>
      <c r="BU164" s="75">
        <f t="shared" si="259"/>
        <v>0</v>
      </c>
      <c r="BV164" s="75">
        <f t="shared" si="260"/>
        <v>0</v>
      </c>
      <c r="BW164" s="75">
        <f t="shared" si="261"/>
        <v>0</v>
      </c>
      <c r="BX164" s="75"/>
      <c r="BY164" s="75">
        <f t="shared" si="262"/>
        <v>0</v>
      </c>
      <c r="BZ164" s="75">
        <f t="shared" si="263"/>
        <v>18000575</v>
      </c>
      <c r="CA164" s="25">
        <f t="shared" si="244"/>
        <v>0.29744861933790118</v>
      </c>
      <c r="CB164" s="75">
        <f t="shared" si="283"/>
        <v>12240044</v>
      </c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>
        <f>+'[1]AGOSTO 2015'!$H$383</f>
        <v>12240044</v>
      </c>
      <c r="CW164" s="25">
        <f t="shared" si="245"/>
        <v>0.70255138066209888</v>
      </c>
      <c r="CX164" s="75">
        <f t="shared" si="284"/>
        <v>28910068</v>
      </c>
      <c r="CY164" s="75"/>
      <c r="CZ164" s="75"/>
      <c r="DA164" s="75"/>
      <c r="DB164" s="75">
        <f t="shared" si="247"/>
        <v>0</v>
      </c>
      <c r="DC164" s="75">
        <f t="shared" si="264"/>
        <v>0</v>
      </c>
      <c r="DD164" s="75">
        <f t="shared" si="265"/>
        <v>0</v>
      </c>
      <c r="DE164" s="75">
        <f t="shared" si="266"/>
        <v>0</v>
      </c>
      <c r="DF164" s="75"/>
      <c r="DG164" s="75">
        <f t="shared" si="267"/>
        <v>0</v>
      </c>
      <c r="DH164" s="75">
        <f t="shared" si="268"/>
        <v>0</v>
      </c>
      <c r="DI164" s="75"/>
      <c r="DJ164" s="75">
        <f t="shared" si="269"/>
        <v>0</v>
      </c>
      <c r="DK164" s="75">
        <f t="shared" si="270"/>
        <v>0</v>
      </c>
      <c r="DL164" s="75">
        <f t="shared" si="271"/>
        <v>0</v>
      </c>
      <c r="DM164" s="75">
        <f t="shared" si="272"/>
        <v>0</v>
      </c>
      <c r="DN164" s="75">
        <f t="shared" si="273"/>
        <v>0</v>
      </c>
      <c r="DO164" s="75">
        <f t="shared" si="274"/>
        <v>0</v>
      </c>
      <c r="DP164" s="75">
        <f t="shared" si="275"/>
        <v>0</v>
      </c>
      <c r="DQ164" s="75">
        <f t="shared" si="277"/>
        <v>0</v>
      </c>
      <c r="DR164" s="75">
        <f t="shared" si="276"/>
        <v>28910068</v>
      </c>
    </row>
    <row r="165" spans="1:122" ht="36.75" customHeight="1" x14ac:dyDescent="0.25">
      <c r="A165" s="246"/>
      <c r="B165" s="85"/>
      <c r="C165" s="86" t="s">
        <v>65</v>
      </c>
      <c r="D165" s="81" t="s">
        <v>64</v>
      </c>
      <c r="E165" s="80">
        <v>211</v>
      </c>
      <c r="F165" s="78" t="s">
        <v>12</v>
      </c>
      <c r="G165" s="228"/>
      <c r="H165" s="79">
        <f t="shared" si="278"/>
        <v>0</v>
      </c>
      <c r="I165" s="79">
        <f t="shared" si="279"/>
        <v>92524043</v>
      </c>
      <c r="J165" s="78"/>
      <c r="K165" s="78"/>
      <c r="L165" s="78"/>
      <c r="M165" s="75">
        <f t="shared" si="280"/>
        <v>92524043</v>
      </c>
      <c r="N165" s="4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>
        <v>92524043</v>
      </c>
      <c r="AG165" s="75"/>
      <c r="AH165" s="75"/>
      <c r="AI165" s="25">
        <f t="shared" si="242"/>
        <v>1</v>
      </c>
      <c r="AJ165" s="75">
        <f t="shared" si="281"/>
        <v>92524043</v>
      </c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>
        <f>+'[1]AGOSTO 2015'!$AC$401</f>
        <v>92524043</v>
      </c>
      <c r="BD165" s="75"/>
      <c r="BE165" s="25">
        <f t="shared" si="243"/>
        <v>0</v>
      </c>
      <c r="BF165" s="75">
        <f t="shared" si="282"/>
        <v>0</v>
      </c>
      <c r="BG165" s="75">
        <f t="shared" si="248"/>
        <v>0</v>
      </c>
      <c r="BH165" s="75">
        <f t="shared" si="249"/>
        <v>0</v>
      </c>
      <c r="BI165" s="75"/>
      <c r="BJ165" s="75">
        <f t="shared" si="246"/>
        <v>0</v>
      </c>
      <c r="BK165" s="75">
        <f t="shared" si="250"/>
        <v>0</v>
      </c>
      <c r="BL165" s="75">
        <f t="shared" si="251"/>
        <v>0</v>
      </c>
      <c r="BM165" s="75">
        <f t="shared" si="252"/>
        <v>0</v>
      </c>
      <c r="BN165" s="75"/>
      <c r="BO165" s="75">
        <f t="shared" si="253"/>
        <v>0</v>
      </c>
      <c r="BP165" s="75">
        <f t="shared" si="254"/>
        <v>0</v>
      </c>
      <c r="BQ165" s="75">
        <f t="shared" si="255"/>
        <v>0</v>
      </c>
      <c r="BR165" s="75">
        <f t="shared" si="256"/>
        <v>0</v>
      </c>
      <c r="BS165" s="75">
        <f t="shared" si="257"/>
        <v>0</v>
      </c>
      <c r="BT165" s="75">
        <f t="shared" si="258"/>
        <v>0</v>
      </c>
      <c r="BU165" s="75">
        <f t="shared" si="259"/>
        <v>0</v>
      </c>
      <c r="BV165" s="75">
        <f t="shared" si="260"/>
        <v>0</v>
      </c>
      <c r="BW165" s="75">
        <f t="shared" si="261"/>
        <v>0</v>
      </c>
      <c r="BX165" s="75"/>
      <c r="BY165" s="75">
        <f t="shared" si="262"/>
        <v>0</v>
      </c>
      <c r="BZ165" s="75">
        <f t="shared" si="263"/>
        <v>0</v>
      </c>
      <c r="CA165" s="25">
        <f t="shared" si="244"/>
        <v>0</v>
      </c>
      <c r="CB165" s="75">
        <f t="shared" si="283"/>
        <v>0</v>
      </c>
      <c r="CC165" s="75"/>
      <c r="CD165" s="75"/>
      <c r="CE165" s="75"/>
      <c r="CF165" s="75"/>
      <c r="CG165" s="75"/>
      <c r="CH165" s="75"/>
      <c r="CI165" s="75"/>
      <c r="CJ165" s="75"/>
      <c r="CK165" s="75"/>
      <c r="CL165" s="75"/>
      <c r="CM165" s="75"/>
      <c r="CN165" s="75"/>
      <c r="CO165" s="75"/>
      <c r="CP165" s="75"/>
      <c r="CQ165" s="75"/>
      <c r="CR165" s="75"/>
      <c r="CS165" s="75"/>
      <c r="CT165" s="75"/>
      <c r="CU165" s="75"/>
      <c r="CV165" s="75"/>
      <c r="CW165" s="25">
        <f t="shared" si="245"/>
        <v>1</v>
      </c>
      <c r="CX165" s="75">
        <f t="shared" si="284"/>
        <v>92524043</v>
      </c>
      <c r="CY165" s="75"/>
      <c r="CZ165" s="75"/>
      <c r="DA165" s="75"/>
      <c r="DB165" s="75">
        <f t="shared" si="247"/>
        <v>0</v>
      </c>
      <c r="DC165" s="75">
        <f t="shared" si="264"/>
        <v>0</v>
      </c>
      <c r="DD165" s="75">
        <f t="shared" si="265"/>
        <v>0</v>
      </c>
      <c r="DE165" s="75">
        <f t="shared" si="266"/>
        <v>0</v>
      </c>
      <c r="DF165" s="75"/>
      <c r="DG165" s="75">
        <f t="shared" si="267"/>
        <v>0</v>
      </c>
      <c r="DH165" s="75">
        <f t="shared" si="268"/>
        <v>0</v>
      </c>
      <c r="DI165" s="75"/>
      <c r="DJ165" s="75">
        <f t="shared" si="269"/>
        <v>0</v>
      </c>
      <c r="DK165" s="75">
        <f t="shared" si="270"/>
        <v>0</v>
      </c>
      <c r="DL165" s="75">
        <f t="shared" si="271"/>
        <v>0</v>
      </c>
      <c r="DM165" s="75">
        <f t="shared" si="272"/>
        <v>0</v>
      </c>
      <c r="DN165" s="75">
        <f t="shared" si="273"/>
        <v>0</v>
      </c>
      <c r="DO165" s="75">
        <f t="shared" si="274"/>
        <v>0</v>
      </c>
      <c r="DP165" s="75">
        <f t="shared" si="275"/>
        <v>0</v>
      </c>
      <c r="DQ165" s="75">
        <f t="shared" si="277"/>
        <v>92524043</v>
      </c>
      <c r="DR165" s="75">
        <f t="shared" si="276"/>
        <v>0</v>
      </c>
    </row>
    <row r="166" spans="1:122" ht="22.5" customHeight="1" x14ac:dyDescent="0.25">
      <c r="A166" s="246"/>
      <c r="B166" s="85"/>
      <c r="C166" s="86" t="s">
        <v>63</v>
      </c>
      <c r="D166" s="81" t="s">
        <v>62</v>
      </c>
      <c r="E166" s="80">
        <v>211</v>
      </c>
      <c r="F166" s="78" t="s">
        <v>12</v>
      </c>
      <c r="G166" s="228"/>
      <c r="H166" s="79">
        <f t="shared" si="278"/>
        <v>0</v>
      </c>
      <c r="I166" s="79">
        <f t="shared" si="279"/>
        <v>0</v>
      </c>
      <c r="J166" s="78"/>
      <c r="K166" s="78"/>
      <c r="L166" s="78"/>
      <c r="M166" s="75">
        <f t="shared" si="280"/>
        <v>0</v>
      </c>
      <c r="N166" s="45"/>
      <c r="O166" s="75"/>
      <c r="P166" s="75"/>
      <c r="Q166" s="75">
        <f>31000000-31000000</f>
        <v>0</v>
      </c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25" t="e">
        <f t="shared" si="242"/>
        <v>#DIV/0!</v>
      </c>
      <c r="AJ166" s="75">
        <f t="shared" si="281"/>
        <v>0</v>
      </c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25" t="e">
        <f t="shared" si="243"/>
        <v>#DIV/0!</v>
      </c>
      <c r="BF166" s="75">
        <f t="shared" si="282"/>
        <v>0</v>
      </c>
      <c r="BG166" s="75"/>
      <c r="BH166" s="75"/>
      <c r="BI166" s="75"/>
      <c r="BJ166" s="75">
        <f t="shared" si="246"/>
        <v>0</v>
      </c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25" t="e">
        <f t="shared" si="244"/>
        <v>#DIV/0!</v>
      </c>
      <c r="CB166" s="75">
        <f t="shared" si="283"/>
        <v>0</v>
      </c>
      <c r="CC166" s="75"/>
      <c r="CD166" s="75"/>
      <c r="CE166" s="75"/>
      <c r="CF166" s="75"/>
      <c r="CG166" s="75"/>
      <c r="CH166" s="75"/>
      <c r="CI166" s="75"/>
      <c r="CJ166" s="75"/>
      <c r="CK166" s="75"/>
      <c r="CL166" s="75"/>
      <c r="CM166" s="75"/>
      <c r="CN166" s="75"/>
      <c r="CO166" s="75"/>
      <c r="CP166" s="75"/>
      <c r="CQ166" s="75"/>
      <c r="CR166" s="75"/>
      <c r="CS166" s="75"/>
      <c r="CT166" s="75"/>
      <c r="CU166" s="75"/>
      <c r="CV166" s="75"/>
      <c r="CW166" s="25" t="e">
        <f t="shared" si="245"/>
        <v>#DIV/0!</v>
      </c>
      <c r="CX166" s="75">
        <f t="shared" si="284"/>
        <v>0</v>
      </c>
      <c r="CY166" s="75"/>
      <c r="CZ166" s="75"/>
      <c r="DA166" s="75"/>
      <c r="DB166" s="75">
        <f t="shared" si="247"/>
        <v>0</v>
      </c>
      <c r="DC166" s="75"/>
      <c r="DD166" s="75"/>
      <c r="DE166" s="75"/>
      <c r="DF166" s="75"/>
      <c r="DG166" s="75"/>
      <c r="DH166" s="75"/>
      <c r="DI166" s="75"/>
      <c r="DJ166" s="75"/>
      <c r="DK166" s="75"/>
      <c r="DL166" s="75"/>
      <c r="DM166" s="75"/>
      <c r="DN166" s="75"/>
      <c r="DO166" s="75"/>
      <c r="DP166" s="75"/>
      <c r="DQ166" s="75"/>
      <c r="DR166" s="75"/>
    </row>
    <row r="167" spans="1:122" ht="24.75" customHeight="1" x14ac:dyDescent="0.25">
      <c r="A167" s="246"/>
      <c r="B167" s="85"/>
      <c r="C167" s="86" t="s">
        <v>61</v>
      </c>
      <c r="D167" s="81" t="s">
        <v>60</v>
      </c>
      <c r="E167" s="80">
        <v>211</v>
      </c>
      <c r="F167" s="78" t="s">
        <v>12</v>
      </c>
      <c r="G167" s="228"/>
      <c r="H167" s="79">
        <f t="shared" si="278"/>
        <v>0</v>
      </c>
      <c r="I167" s="79">
        <f t="shared" si="279"/>
        <v>0</v>
      </c>
      <c r="J167" s="78"/>
      <c r="K167" s="78"/>
      <c r="L167" s="78"/>
      <c r="M167" s="75">
        <f t="shared" si="280"/>
        <v>0</v>
      </c>
      <c r="N167" s="45"/>
      <c r="O167" s="75"/>
      <c r="P167" s="75"/>
      <c r="Q167" s="75">
        <f>100000000-100000000</f>
        <v>0</v>
      </c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25" t="e">
        <f t="shared" si="242"/>
        <v>#DIV/0!</v>
      </c>
      <c r="AJ167" s="75">
        <f t="shared" si="281"/>
        <v>0</v>
      </c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25" t="e">
        <f t="shared" si="243"/>
        <v>#DIV/0!</v>
      </c>
      <c r="BF167" s="75">
        <f t="shared" si="282"/>
        <v>0</v>
      </c>
      <c r="BG167" s="75"/>
      <c r="BH167" s="75"/>
      <c r="BI167" s="75"/>
      <c r="BJ167" s="75">
        <f t="shared" si="246"/>
        <v>0</v>
      </c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25" t="e">
        <f t="shared" si="244"/>
        <v>#DIV/0!</v>
      </c>
      <c r="CB167" s="75">
        <f t="shared" si="283"/>
        <v>0</v>
      </c>
      <c r="CC167" s="75"/>
      <c r="CD167" s="75"/>
      <c r="CE167" s="75"/>
      <c r="CF167" s="75"/>
      <c r="CG167" s="75"/>
      <c r="CH167" s="75"/>
      <c r="CI167" s="75"/>
      <c r="CJ167" s="75"/>
      <c r="CK167" s="75"/>
      <c r="CL167" s="75"/>
      <c r="CM167" s="75"/>
      <c r="CN167" s="75"/>
      <c r="CO167" s="75"/>
      <c r="CP167" s="75"/>
      <c r="CQ167" s="75"/>
      <c r="CR167" s="75"/>
      <c r="CS167" s="75"/>
      <c r="CT167" s="75"/>
      <c r="CU167" s="75"/>
      <c r="CV167" s="75"/>
      <c r="CW167" s="25" t="e">
        <f t="shared" si="245"/>
        <v>#DIV/0!</v>
      </c>
      <c r="CX167" s="75">
        <f t="shared" si="284"/>
        <v>0</v>
      </c>
      <c r="CY167" s="75"/>
      <c r="CZ167" s="75"/>
      <c r="DA167" s="75"/>
      <c r="DB167" s="75">
        <f t="shared" si="247"/>
        <v>0</v>
      </c>
      <c r="DC167" s="75"/>
      <c r="DD167" s="75"/>
      <c r="DE167" s="75"/>
      <c r="DF167" s="75"/>
      <c r="DG167" s="75"/>
      <c r="DH167" s="75"/>
      <c r="DI167" s="75"/>
      <c r="DJ167" s="75"/>
      <c r="DK167" s="75"/>
      <c r="DL167" s="75"/>
      <c r="DM167" s="75"/>
      <c r="DN167" s="75"/>
      <c r="DO167" s="75"/>
      <c r="DP167" s="75"/>
      <c r="DQ167" s="75"/>
      <c r="DR167" s="75"/>
    </row>
    <row r="168" spans="1:122" ht="24" customHeight="1" x14ac:dyDescent="0.25">
      <c r="A168" s="246"/>
      <c r="B168" s="85"/>
      <c r="C168" s="86" t="s">
        <v>59</v>
      </c>
      <c r="D168" s="81" t="s">
        <v>58</v>
      </c>
      <c r="E168" s="80">
        <v>211</v>
      </c>
      <c r="F168" s="78" t="s">
        <v>12</v>
      </c>
      <c r="G168" s="229"/>
      <c r="H168" s="79">
        <f t="shared" si="278"/>
        <v>0</v>
      </c>
      <c r="I168" s="79">
        <f t="shared" si="279"/>
        <v>290000000</v>
      </c>
      <c r="J168" s="78"/>
      <c r="K168" s="78"/>
      <c r="L168" s="78"/>
      <c r="M168" s="75">
        <f t="shared" si="280"/>
        <v>290000000</v>
      </c>
      <c r="N168" s="45"/>
      <c r="O168" s="75"/>
      <c r="P168" s="75"/>
      <c r="Q168" s="75">
        <f>1000000000-710000000</f>
        <v>290000000</v>
      </c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25"/>
      <c r="AJ168" s="75">
        <f t="shared" si="281"/>
        <v>0</v>
      </c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25"/>
      <c r="BF168" s="75">
        <f t="shared" si="282"/>
        <v>290000000</v>
      </c>
      <c r="BG168" s="75"/>
      <c r="BH168" s="75"/>
      <c r="BI168" s="75"/>
      <c r="BJ168" s="75">
        <f t="shared" si="246"/>
        <v>290000000</v>
      </c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25">
        <f t="shared" si="244"/>
        <v>0</v>
      </c>
      <c r="CB168" s="75">
        <f t="shared" si="283"/>
        <v>0</v>
      </c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25"/>
      <c r="CX168" s="75">
        <f t="shared" si="284"/>
        <v>290000000</v>
      </c>
      <c r="CY168" s="75"/>
      <c r="CZ168" s="75"/>
      <c r="DA168" s="75"/>
      <c r="DB168" s="75">
        <f t="shared" si="247"/>
        <v>290000000</v>
      </c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</row>
    <row r="169" spans="1:122" ht="32.25" customHeight="1" x14ac:dyDescent="0.25">
      <c r="A169" s="246"/>
      <c r="B169" s="85" t="s">
        <v>57</v>
      </c>
      <c r="C169" s="86" t="s">
        <v>56</v>
      </c>
      <c r="D169" s="81" t="s">
        <v>55</v>
      </c>
      <c r="E169" s="80">
        <v>510</v>
      </c>
      <c r="F169" s="78" t="s">
        <v>39</v>
      </c>
      <c r="G169" s="227">
        <v>260000000</v>
      </c>
      <c r="H169" s="79">
        <f t="shared" si="278"/>
        <v>83465123</v>
      </c>
      <c r="I169" s="79">
        <f t="shared" si="279"/>
        <v>3034877</v>
      </c>
      <c r="J169" s="78"/>
      <c r="K169" s="78"/>
      <c r="L169" s="78"/>
      <c r="M169" s="75">
        <f t="shared" si="280"/>
        <v>86500000</v>
      </c>
      <c r="N169" s="45"/>
      <c r="O169" s="75"/>
      <c r="P169" s="75"/>
      <c r="Q169" s="75"/>
      <c r="R169" s="75"/>
      <c r="S169" s="75">
        <f>85000000-16000000+16000000</f>
        <v>85000000</v>
      </c>
      <c r="T169" s="75"/>
      <c r="U169" s="75"/>
      <c r="V169" s="75"/>
      <c r="W169" s="75"/>
      <c r="X169" s="75"/>
      <c r="Y169" s="75"/>
      <c r="Z169" s="75"/>
      <c r="AA169" s="75"/>
      <c r="AB169" s="75"/>
      <c r="AC169" s="75">
        <v>1500000</v>
      </c>
      <c r="AD169" s="75"/>
      <c r="AE169" s="75"/>
      <c r="AF169" s="75"/>
      <c r="AG169" s="75"/>
      <c r="AH169" s="75"/>
      <c r="AI169" s="25">
        <f t="shared" ref="AI169:AI187" si="285">+AJ169/M169</f>
        <v>1</v>
      </c>
      <c r="AJ169" s="75">
        <f t="shared" si="281"/>
        <v>86500000</v>
      </c>
      <c r="AK169" s="75"/>
      <c r="AL169" s="75"/>
      <c r="AM169" s="75"/>
      <c r="AN169" s="75"/>
      <c r="AO169" s="75"/>
      <c r="AP169" s="75">
        <f>+'[6]JUNIO 2015'!$O$1705</f>
        <v>85000000</v>
      </c>
      <c r="AQ169" s="75"/>
      <c r="AR169" s="75"/>
      <c r="AS169" s="75"/>
      <c r="AT169" s="75"/>
      <c r="AU169" s="75"/>
      <c r="AV169" s="75"/>
      <c r="AW169" s="75"/>
      <c r="AX169" s="75"/>
      <c r="AY169" s="75"/>
      <c r="AZ169" s="75">
        <f>+'[6]JUNIO 2015'!$Y$1705</f>
        <v>1500000</v>
      </c>
      <c r="BA169" s="75"/>
      <c r="BB169" s="75"/>
      <c r="BC169" s="75"/>
      <c r="BD169" s="75"/>
      <c r="BE169" s="25">
        <f t="shared" ref="BE169:BE187" si="286">1-AI169</f>
        <v>0</v>
      </c>
      <c r="BF169" s="75">
        <f t="shared" si="282"/>
        <v>0</v>
      </c>
      <c r="BG169" s="75">
        <f t="shared" ref="BG169:BG186" si="287">+N169-AK169</f>
        <v>0</v>
      </c>
      <c r="BH169" s="75">
        <f t="shared" ref="BH169:BH186" si="288">O169-AL169</f>
        <v>0</v>
      </c>
      <c r="BI169" s="75"/>
      <c r="BJ169" s="75">
        <f t="shared" si="246"/>
        <v>0</v>
      </c>
      <c r="BK169" s="75">
        <f t="shared" ref="BK169:BK186" si="289">R169-AO169</f>
        <v>0</v>
      </c>
      <c r="BL169" s="75">
        <f t="shared" ref="BL169:BL186" si="290">+S169-AP169</f>
        <v>0</v>
      </c>
      <c r="BM169" s="75">
        <f t="shared" ref="BM169:BM186" si="291">+T169-AQ169</f>
        <v>0</v>
      </c>
      <c r="BN169" s="75"/>
      <c r="BO169" s="75">
        <f t="shared" ref="BO169:BO186" si="292">+V169-AS169</f>
        <v>0</v>
      </c>
      <c r="BP169" s="75">
        <f t="shared" ref="BP169:BP186" si="293">+W169-AT169</f>
        <v>0</v>
      </c>
      <c r="BQ169" s="75">
        <f t="shared" ref="BQ169:BQ186" si="294">+X169-AU169</f>
        <v>0</v>
      </c>
      <c r="BR169" s="75">
        <f t="shared" ref="BR169:BR186" si="295">+Y169-AV169</f>
        <v>0</v>
      </c>
      <c r="BS169" s="75">
        <f t="shared" ref="BS169:BS186" si="296">+Z169-AW169</f>
        <v>0</v>
      </c>
      <c r="BT169" s="75">
        <f t="shared" ref="BT169:BT186" si="297">+AA169-AX169</f>
        <v>0</v>
      </c>
      <c r="BU169" s="75">
        <f t="shared" ref="BU169:BU186" si="298">+AB169-AY169</f>
        <v>0</v>
      </c>
      <c r="BV169" s="75">
        <f t="shared" ref="BV169:BV186" si="299">+AC169-AZ169</f>
        <v>0</v>
      </c>
      <c r="BW169" s="75">
        <f t="shared" ref="BW169:BW186" si="300">+AD169-BA169</f>
        <v>0</v>
      </c>
      <c r="BX169" s="75"/>
      <c r="BY169" s="75">
        <f t="shared" ref="BY169:BZ174" si="301">+AF169-BC169</f>
        <v>0</v>
      </c>
      <c r="BZ169" s="75">
        <f t="shared" si="301"/>
        <v>0</v>
      </c>
      <c r="CA169" s="25">
        <f t="shared" ref="CA169:CA187" si="302">+CB169/M169</f>
        <v>0.96491471676300578</v>
      </c>
      <c r="CB169" s="75">
        <f t="shared" si="283"/>
        <v>83465123</v>
      </c>
      <c r="CC169" s="75"/>
      <c r="CD169" s="75"/>
      <c r="CE169" s="75"/>
      <c r="CF169" s="75"/>
      <c r="CG169" s="75"/>
      <c r="CH169" s="75">
        <f>+'[2]JULIO 2015'!$H$1989+'[2]JULIO 2015'!$H$1995+'[2]JULIO 2015'!$H$1997</f>
        <v>83465123</v>
      </c>
      <c r="CI169" s="75"/>
      <c r="CJ169" s="75"/>
      <c r="CK169" s="75"/>
      <c r="CL169" s="75"/>
      <c r="CM169" s="75"/>
      <c r="CN169" s="75"/>
      <c r="CO169" s="75"/>
      <c r="CP169" s="75"/>
      <c r="CQ169" s="75"/>
      <c r="CR169" s="75"/>
      <c r="CS169" s="75"/>
      <c r="CT169" s="75"/>
      <c r="CU169" s="75"/>
      <c r="CV169" s="75"/>
      <c r="CW169" s="25">
        <f t="shared" ref="CW169:CW187" si="303">1-CA169</f>
        <v>3.5085283236994225E-2</v>
      </c>
      <c r="CX169" s="75">
        <f t="shared" si="284"/>
        <v>3034877</v>
      </c>
      <c r="CY169" s="75"/>
      <c r="CZ169" s="75">
        <f>O169-CD169</f>
        <v>0</v>
      </c>
      <c r="DA169" s="75"/>
      <c r="DB169" s="75">
        <f t="shared" si="247"/>
        <v>0</v>
      </c>
      <c r="DC169" s="75">
        <f t="shared" ref="DC169:DC186" si="304">R169-CG169</f>
        <v>0</v>
      </c>
      <c r="DD169" s="75">
        <f t="shared" ref="DD169:DD186" si="305">S169-CH169</f>
        <v>1534877</v>
      </c>
      <c r="DE169" s="75">
        <f t="shared" ref="DE169:DE186" si="306">T169-CI169</f>
        <v>0</v>
      </c>
      <c r="DF169" s="75"/>
      <c r="DG169" s="75">
        <f t="shared" ref="DG169:DG186" si="307">+V169-CK169</f>
        <v>0</v>
      </c>
      <c r="DH169" s="75">
        <f t="shared" ref="DH169:DH186" si="308">+W169-CL169</f>
        <v>0</v>
      </c>
      <c r="DI169" s="75"/>
      <c r="DJ169" s="75">
        <f t="shared" ref="DJ169:DJ186" si="309">Y169-CN169</f>
        <v>0</v>
      </c>
      <c r="DK169" s="75">
        <f t="shared" ref="DK169:DK186" si="310">Z169-CO169</f>
        <v>0</v>
      </c>
      <c r="DL169" s="75">
        <f t="shared" ref="DL169:DL186" si="311">AA169-CP169</f>
        <v>0</v>
      </c>
      <c r="DM169" s="75">
        <f t="shared" ref="DM169:DM186" si="312">+AB169-CQ169</f>
        <v>0</v>
      </c>
      <c r="DN169" s="75">
        <f t="shared" ref="DN169:DN186" si="313">+AC169-CR169</f>
        <v>1500000</v>
      </c>
      <c r="DO169" s="75">
        <f t="shared" ref="DO169:DO186" si="314">+AD169-CS169</f>
        <v>0</v>
      </c>
      <c r="DP169" s="75">
        <f t="shared" ref="DP169:DP186" si="315">+AE169-CT169</f>
        <v>0</v>
      </c>
      <c r="DQ169" s="75">
        <f t="shared" ref="DQ169:DQ186" si="316">+AF169-CU169</f>
        <v>0</v>
      </c>
      <c r="DR169" s="75">
        <f t="shared" ref="DR169:DR186" si="317">+AG169-CV169</f>
        <v>0</v>
      </c>
    </row>
    <row r="170" spans="1:122" ht="47.25" customHeight="1" x14ac:dyDescent="0.25">
      <c r="A170" s="246"/>
      <c r="B170" s="85"/>
      <c r="C170" s="86" t="s">
        <v>54</v>
      </c>
      <c r="D170" s="81" t="s">
        <v>53</v>
      </c>
      <c r="E170" s="80">
        <v>510</v>
      </c>
      <c r="F170" s="78" t="s">
        <v>39</v>
      </c>
      <c r="G170" s="228"/>
      <c r="H170" s="79">
        <f t="shared" si="278"/>
        <v>0</v>
      </c>
      <c r="I170" s="79">
        <f t="shared" si="279"/>
        <v>10000000</v>
      </c>
      <c r="J170" s="78"/>
      <c r="K170" s="78"/>
      <c r="L170" s="78"/>
      <c r="M170" s="75">
        <f t="shared" si="280"/>
        <v>10000000</v>
      </c>
      <c r="N170" s="45"/>
      <c r="O170" s="75"/>
      <c r="P170" s="75"/>
      <c r="Q170" s="75">
        <f>16000000-16000000</f>
        <v>0</v>
      </c>
      <c r="R170" s="75"/>
      <c r="S170" s="75">
        <f>16000000-16000000</f>
        <v>0</v>
      </c>
      <c r="T170" s="75"/>
      <c r="U170" s="75"/>
      <c r="V170" s="75"/>
      <c r="W170" s="75"/>
      <c r="X170" s="75"/>
      <c r="Y170" s="75"/>
      <c r="Z170" s="75"/>
      <c r="AA170" s="75"/>
      <c r="AB170" s="75"/>
      <c r="AC170" s="75">
        <v>10000000</v>
      </c>
      <c r="AD170" s="75"/>
      <c r="AE170" s="75"/>
      <c r="AF170" s="75"/>
      <c r="AG170" s="75"/>
      <c r="AI170" s="25">
        <f t="shared" si="285"/>
        <v>0.57037199999999999</v>
      </c>
      <c r="AJ170" s="75">
        <f t="shared" si="281"/>
        <v>5703720</v>
      </c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>
        <f>+'[1]AGOSTO 2015'!$Y$2243</f>
        <v>5703720</v>
      </c>
      <c r="BA170" s="75"/>
      <c r="BB170" s="75"/>
      <c r="BC170" s="75"/>
      <c r="BD170" s="75"/>
      <c r="BE170" s="25">
        <f t="shared" si="286"/>
        <v>0.42962800000000001</v>
      </c>
      <c r="BF170" s="75">
        <f t="shared" si="282"/>
        <v>4296280</v>
      </c>
      <c r="BG170" s="75">
        <f t="shared" si="287"/>
        <v>0</v>
      </c>
      <c r="BH170" s="75">
        <f t="shared" si="288"/>
        <v>0</v>
      </c>
      <c r="BI170" s="75"/>
      <c r="BJ170" s="75">
        <f t="shared" si="246"/>
        <v>0</v>
      </c>
      <c r="BK170" s="75">
        <f t="shared" si="289"/>
        <v>0</v>
      </c>
      <c r="BL170" s="75">
        <f t="shared" si="290"/>
        <v>0</v>
      </c>
      <c r="BM170" s="75">
        <f t="shared" si="291"/>
        <v>0</v>
      </c>
      <c r="BN170" s="75"/>
      <c r="BO170" s="75">
        <f t="shared" si="292"/>
        <v>0</v>
      </c>
      <c r="BP170" s="75">
        <f t="shared" si="293"/>
        <v>0</v>
      </c>
      <c r="BQ170" s="75">
        <f t="shared" si="294"/>
        <v>0</v>
      </c>
      <c r="BR170" s="75">
        <f t="shared" si="295"/>
        <v>0</v>
      </c>
      <c r="BS170" s="75">
        <f t="shared" si="296"/>
        <v>0</v>
      </c>
      <c r="BT170" s="75">
        <f t="shared" si="297"/>
        <v>0</v>
      </c>
      <c r="BU170" s="75">
        <f t="shared" si="298"/>
        <v>0</v>
      </c>
      <c r="BV170" s="75">
        <f t="shared" si="299"/>
        <v>4296280</v>
      </c>
      <c r="BW170" s="75">
        <f t="shared" si="300"/>
        <v>0</v>
      </c>
      <c r="BX170" s="75"/>
      <c r="BY170" s="75">
        <f t="shared" si="301"/>
        <v>0</v>
      </c>
      <c r="BZ170" s="75">
        <f t="shared" si="301"/>
        <v>0</v>
      </c>
      <c r="CA170" s="25">
        <f t="shared" si="302"/>
        <v>0</v>
      </c>
      <c r="CB170" s="75">
        <f t="shared" si="283"/>
        <v>0</v>
      </c>
      <c r="CC170" s="75"/>
      <c r="CD170" s="75"/>
      <c r="CE170" s="75"/>
      <c r="CF170" s="75"/>
      <c r="CG170" s="75"/>
      <c r="CH170" s="75"/>
      <c r="CI170" s="75"/>
      <c r="CJ170" s="75"/>
      <c r="CK170" s="75"/>
      <c r="CL170" s="75"/>
      <c r="CM170" s="75"/>
      <c r="CN170" s="75"/>
      <c r="CO170" s="75"/>
      <c r="CP170" s="75"/>
      <c r="CQ170" s="75"/>
      <c r="CR170" s="75"/>
      <c r="CS170" s="75"/>
      <c r="CT170" s="75"/>
      <c r="CU170" s="75"/>
      <c r="CV170" s="75"/>
      <c r="CW170" s="25">
        <f t="shared" si="303"/>
        <v>1</v>
      </c>
      <c r="CX170" s="75">
        <f t="shared" si="284"/>
        <v>10000000</v>
      </c>
      <c r="CY170" s="75"/>
      <c r="CZ170" s="75"/>
      <c r="DA170" s="75"/>
      <c r="DB170" s="75">
        <f t="shared" si="247"/>
        <v>0</v>
      </c>
      <c r="DC170" s="75">
        <f t="shared" si="304"/>
        <v>0</v>
      </c>
      <c r="DD170" s="75">
        <f t="shared" si="305"/>
        <v>0</v>
      </c>
      <c r="DE170" s="75">
        <f t="shared" si="306"/>
        <v>0</v>
      </c>
      <c r="DF170" s="75"/>
      <c r="DG170" s="75">
        <f t="shared" si="307"/>
        <v>0</v>
      </c>
      <c r="DH170" s="75">
        <f t="shared" si="308"/>
        <v>0</v>
      </c>
      <c r="DI170" s="75"/>
      <c r="DJ170" s="75">
        <f t="shared" si="309"/>
        <v>0</v>
      </c>
      <c r="DK170" s="75">
        <f t="shared" si="310"/>
        <v>0</v>
      </c>
      <c r="DL170" s="75">
        <f t="shared" si="311"/>
        <v>0</v>
      </c>
      <c r="DM170" s="75">
        <f t="shared" si="312"/>
        <v>0</v>
      </c>
      <c r="DN170" s="75">
        <f t="shared" si="313"/>
        <v>10000000</v>
      </c>
      <c r="DO170" s="75">
        <f t="shared" si="314"/>
        <v>0</v>
      </c>
      <c r="DP170" s="75">
        <f t="shared" si="315"/>
        <v>0</v>
      </c>
      <c r="DQ170" s="75">
        <f t="shared" si="316"/>
        <v>0</v>
      </c>
      <c r="DR170" s="75">
        <f t="shared" si="317"/>
        <v>0</v>
      </c>
    </row>
    <row r="171" spans="1:122" ht="41.25" customHeight="1" x14ac:dyDescent="0.25">
      <c r="A171" s="246"/>
      <c r="B171" s="85"/>
      <c r="C171" s="86" t="s">
        <v>52</v>
      </c>
      <c r="D171" s="81" t="s">
        <v>51</v>
      </c>
      <c r="E171" s="80">
        <v>510</v>
      </c>
      <c r="F171" s="78" t="s">
        <v>50</v>
      </c>
      <c r="G171" s="228"/>
      <c r="H171" s="79">
        <f t="shared" si="278"/>
        <v>0</v>
      </c>
      <c r="I171" s="79">
        <f t="shared" si="279"/>
        <v>8000000</v>
      </c>
      <c r="J171" s="78"/>
      <c r="K171" s="78"/>
      <c r="L171" s="78"/>
      <c r="M171" s="75">
        <f t="shared" si="280"/>
        <v>8000000</v>
      </c>
      <c r="N171" s="45"/>
      <c r="O171" s="75"/>
      <c r="P171" s="75"/>
      <c r="Q171" s="75"/>
      <c r="R171" s="75"/>
      <c r="S171" s="75">
        <v>8000000</v>
      </c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I171" s="25">
        <f t="shared" si="285"/>
        <v>0</v>
      </c>
      <c r="AJ171" s="75">
        <f t="shared" si="281"/>
        <v>0</v>
      </c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25">
        <f t="shared" si="286"/>
        <v>1</v>
      </c>
      <c r="BF171" s="75">
        <f t="shared" si="282"/>
        <v>8000000</v>
      </c>
      <c r="BG171" s="75">
        <f t="shared" si="287"/>
        <v>0</v>
      </c>
      <c r="BH171" s="75">
        <f t="shared" si="288"/>
        <v>0</v>
      </c>
      <c r="BI171" s="75"/>
      <c r="BJ171" s="75">
        <f t="shared" si="246"/>
        <v>0</v>
      </c>
      <c r="BK171" s="75">
        <f t="shared" si="289"/>
        <v>0</v>
      </c>
      <c r="BL171" s="75">
        <f t="shared" si="290"/>
        <v>8000000</v>
      </c>
      <c r="BM171" s="75">
        <f t="shared" si="291"/>
        <v>0</v>
      </c>
      <c r="BN171" s="75"/>
      <c r="BO171" s="75">
        <f t="shared" si="292"/>
        <v>0</v>
      </c>
      <c r="BP171" s="75">
        <f t="shared" si="293"/>
        <v>0</v>
      </c>
      <c r="BQ171" s="75">
        <f t="shared" si="294"/>
        <v>0</v>
      </c>
      <c r="BR171" s="75">
        <f t="shared" si="295"/>
        <v>0</v>
      </c>
      <c r="BS171" s="75">
        <f t="shared" si="296"/>
        <v>0</v>
      </c>
      <c r="BT171" s="75">
        <f t="shared" si="297"/>
        <v>0</v>
      </c>
      <c r="BU171" s="75">
        <f t="shared" si="298"/>
        <v>0</v>
      </c>
      <c r="BV171" s="75">
        <f t="shared" si="299"/>
        <v>0</v>
      </c>
      <c r="BW171" s="75">
        <f t="shared" si="300"/>
        <v>0</v>
      </c>
      <c r="BX171" s="75"/>
      <c r="BY171" s="75">
        <f t="shared" si="301"/>
        <v>0</v>
      </c>
      <c r="BZ171" s="75">
        <f t="shared" si="301"/>
        <v>0</v>
      </c>
      <c r="CA171" s="25">
        <f t="shared" si="302"/>
        <v>0</v>
      </c>
      <c r="CB171" s="75">
        <f t="shared" si="283"/>
        <v>0</v>
      </c>
      <c r="CC171" s="75"/>
      <c r="CD171" s="75"/>
      <c r="CE171" s="75"/>
      <c r="CF171" s="75"/>
      <c r="CG171" s="75"/>
      <c r="CH171" s="75"/>
      <c r="CI171" s="75"/>
      <c r="CJ171" s="75"/>
      <c r="CK171" s="75"/>
      <c r="CL171" s="75"/>
      <c r="CM171" s="75"/>
      <c r="CN171" s="75"/>
      <c r="CO171" s="75"/>
      <c r="CP171" s="75"/>
      <c r="CQ171" s="75"/>
      <c r="CR171" s="75"/>
      <c r="CS171" s="75"/>
      <c r="CT171" s="75"/>
      <c r="CU171" s="75"/>
      <c r="CV171" s="75"/>
      <c r="CW171" s="25">
        <f t="shared" si="303"/>
        <v>1</v>
      </c>
      <c r="CX171" s="75">
        <f t="shared" si="284"/>
        <v>8000000</v>
      </c>
      <c r="CY171" s="75"/>
      <c r="CZ171" s="75"/>
      <c r="DA171" s="75"/>
      <c r="DB171" s="75">
        <f t="shared" si="247"/>
        <v>0</v>
      </c>
      <c r="DC171" s="75">
        <f t="shared" si="304"/>
        <v>0</v>
      </c>
      <c r="DD171" s="75">
        <f t="shared" si="305"/>
        <v>8000000</v>
      </c>
      <c r="DE171" s="75">
        <f t="shared" si="306"/>
        <v>0</v>
      </c>
      <c r="DF171" s="75"/>
      <c r="DG171" s="75">
        <f t="shared" si="307"/>
        <v>0</v>
      </c>
      <c r="DH171" s="75">
        <f t="shared" si="308"/>
        <v>0</v>
      </c>
      <c r="DI171" s="75"/>
      <c r="DJ171" s="75">
        <f t="shared" si="309"/>
        <v>0</v>
      </c>
      <c r="DK171" s="75">
        <f t="shared" si="310"/>
        <v>0</v>
      </c>
      <c r="DL171" s="75">
        <f t="shared" si="311"/>
        <v>0</v>
      </c>
      <c r="DM171" s="75">
        <f t="shared" si="312"/>
        <v>0</v>
      </c>
      <c r="DN171" s="75">
        <f t="shared" si="313"/>
        <v>0</v>
      </c>
      <c r="DO171" s="75">
        <f t="shared" si="314"/>
        <v>0</v>
      </c>
      <c r="DP171" s="75">
        <f t="shared" si="315"/>
        <v>0</v>
      </c>
      <c r="DQ171" s="75">
        <f t="shared" si="316"/>
        <v>0</v>
      </c>
      <c r="DR171" s="75">
        <f t="shared" si="317"/>
        <v>0</v>
      </c>
    </row>
    <row r="172" spans="1:122" ht="49.5" customHeight="1" x14ac:dyDescent="0.25">
      <c r="A172" s="246"/>
      <c r="B172" s="85"/>
      <c r="C172" s="86" t="s">
        <v>49</v>
      </c>
      <c r="D172" s="81" t="s">
        <v>48</v>
      </c>
      <c r="E172" s="80">
        <v>510</v>
      </c>
      <c r="F172" s="78" t="s">
        <v>39</v>
      </c>
      <c r="G172" s="228"/>
      <c r="H172" s="79">
        <f t="shared" si="278"/>
        <v>0</v>
      </c>
      <c r="I172" s="79">
        <f t="shared" si="279"/>
        <v>0</v>
      </c>
      <c r="J172" s="78"/>
      <c r="K172" s="78"/>
      <c r="L172" s="78"/>
      <c r="M172" s="75">
        <f t="shared" si="280"/>
        <v>0</v>
      </c>
      <c r="N172" s="45"/>
      <c r="O172" s="75"/>
      <c r="P172" s="75"/>
      <c r="Q172" s="75">
        <f>16000000-16000000</f>
        <v>0</v>
      </c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I172" s="25" t="e">
        <f t="shared" si="285"/>
        <v>#DIV/0!</v>
      </c>
      <c r="AJ172" s="75">
        <f t="shared" si="281"/>
        <v>0</v>
      </c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25" t="e">
        <f t="shared" si="286"/>
        <v>#DIV/0!</v>
      </c>
      <c r="BF172" s="75">
        <f t="shared" si="282"/>
        <v>0</v>
      </c>
      <c r="BG172" s="75">
        <f t="shared" si="287"/>
        <v>0</v>
      </c>
      <c r="BH172" s="75">
        <f t="shared" si="288"/>
        <v>0</v>
      </c>
      <c r="BI172" s="75"/>
      <c r="BJ172" s="75">
        <f t="shared" si="246"/>
        <v>0</v>
      </c>
      <c r="BK172" s="75">
        <f t="shared" si="289"/>
        <v>0</v>
      </c>
      <c r="BL172" s="75">
        <f t="shared" si="290"/>
        <v>0</v>
      </c>
      <c r="BM172" s="75">
        <f t="shared" si="291"/>
        <v>0</v>
      </c>
      <c r="BN172" s="75"/>
      <c r="BO172" s="75">
        <f t="shared" si="292"/>
        <v>0</v>
      </c>
      <c r="BP172" s="75">
        <f t="shared" si="293"/>
        <v>0</v>
      </c>
      <c r="BQ172" s="75">
        <f t="shared" si="294"/>
        <v>0</v>
      </c>
      <c r="BR172" s="75">
        <f t="shared" si="295"/>
        <v>0</v>
      </c>
      <c r="BS172" s="75">
        <f t="shared" si="296"/>
        <v>0</v>
      </c>
      <c r="BT172" s="75">
        <f t="shared" si="297"/>
        <v>0</v>
      </c>
      <c r="BU172" s="75">
        <f t="shared" si="298"/>
        <v>0</v>
      </c>
      <c r="BV172" s="75">
        <f t="shared" si="299"/>
        <v>0</v>
      </c>
      <c r="BW172" s="75">
        <f t="shared" si="300"/>
        <v>0</v>
      </c>
      <c r="BX172" s="75"/>
      <c r="BY172" s="75">
        <f t="shared" si="301"/>
        <v>0</v>
      </c>
      <c r="BZ172" s="75">
        <f t="shared" si="301"/>
        <v>0</v>
      </c>
      <c r="CA172" s="25" t="e">
        <f t="shared" si="302"/>
        <v>#DIV/0!</v>
      </c>
      <c r="CB172" s="75">
        <f t="shared" si="283"/>
        <v>0</v>
      </c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25" t="e">
        <f t="shared" si="303"/>
        <v>#DIV/0!</v>
      </c>
      <c r="CX172" s="75">
        <f t="shared" si="284"/>
        <v>0</v>
      </c>
      <c r="CY172" s="75"/>
      <c r="CZ172" s="75"/>
      <c r="DA172" s="75"/>
      <c r="DB172" s="75">
        <f t="shared" si="247"/>
        <v>0</v>
      </c>
      <c r="DC172" s="75">
        <f t="shared" si="304"/>
        <v>0</v>
      </c>
      <c r="DD172" s="75">
        <f t="shared" si="305"/>
        <v>0</v>
      </c>
      <c r="DE172" s="75">
        <f t="shared" si="306"/>
        <v>0</v>
      </c>
      <c r="DF172" s="75"/>
      <c r="DG172" s="75">
        <f t="shared" si="307"/>
        <v>0</v>
      </c>
      <c r="DH172" s="75">
        <f t="shared" si="308"/>
        <v>0</v>
      </c>
      <c r="DI172" s="75"/>
      <c r="DJ172" s="75">
        <f t="shared" si="309"/>
        <v>0</v>
      </c>
      <c r="DK172" s="75">
        <f t="shared" si="310"/>
        <v>0</v>
      </c>
      <c r="DL172" s="75">
        <f t="shared" si="311"/>
        <v>0</v>
      </c>
      <c r="DM172" s="75">
        <f t="shared" si="312"/>
        <v>0</v>
      </c>
      <c r="DN172" s="75">
        <f t="shared" si="313"/>
        <v>0</v>
      </c>
      <c r="DO172" s="75">
        <f t="shared" si="314"/>
        <v>0</v>
      </c>
      <c r="DP172" s="75">
        <f t="shared" si="315"/>
        <v>0</v>
      </c>
      <c r="DQ172" s="75">
        <f t="shared" si="316"/>
        <v>0</v>
      </c>
      <c r="DR172" s="75">
        <f t="shared" si="317"/>
        <v>0</v>
      </c>
    </row>
    <row r="173" spans="1:122" ht="47.25" customHeight="1" x14ac:dyDescent="0.25">
      <c r="A173" s="246"/>
      <c r="B173" s="85"/>
      <c r="C173" s="86" t="s">
        <v>47</v>
      </c>
      <c r="D173" s="81" t="s">
        <v>46</v>
      </c>
      <c r="E173" s="80">
        <v>510</v>
      </c>
      <c r="F173" s="78" t="s">
        <v>39</v>
      </c>
      <c r="G173" s="228"/>
      <c r="H173" s="79">
        <f t="shared" si="278"/>
        <v>0</v>
      </c>
      <c r="I173" s="79">
        <f t="shared" si="279"/>
        <v>0</v>
      </c>
      <c r="J173" s="78"/>
      <c r="K173" s="78"/>
      <c r="L173" s="78"/>
      <c r="M173" s="75">
        <f t="shared" si="280"/>
        <v>0</v>
      </c>
      <c r="N173" s="45"/>
      <c r="O173" s="75"/>
      <c r="P173" s="75"/>
      <c r="Q173" s="75">
        <f>5000000-5000000</f>
        <v>0</v>
      </c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I173" s="25" t="e">
        <f t="shared" si="285"/>
        <v>#DIV/0!</v>
      </c>
      <c r="AJ173" s="75">
        <f t="shared" si="281"/>
        <v>0</v>
      </c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25" t="e">
        <f t="shared" si="286"/>
        <v>#DIV/0!</v>
      </c>
      <c r="BF173" s="75">
        <f t="shared" si="282"/>
        <v>0</v>
      </c>
      <c r="BG173" s="75">
        <f t="shared" si="287"/>
        <v>0</v>
      </c>
      <c r="BH173" s="75">
        <f t="shared" si="288"/>
        <v>0</v>
      </c>
      <c r="BI173" s="75"/>
      <c r="BJ173" s="75">
        <f t="shared" si="246"/>
        <v>0</v>
      </c>
      <c r="BK173" s="75">
        <f t="shared" si="289"/>
        <v>0</v>
      </c>
      <c r="BL173" s="75">
        <f t="shared" si="290"/>
        <v>0</v>
      </c>
      <c r="BM173" s="75">
        <f t="shared" si="291"/>
        <v>0</v>
      </c>
      <c r="BN173" s="75"/>
      <c r="BO173" s="75">
        <f t="shared" si="292"/>
        <v>0</v>
      </c>
      <c r="BP173" s="75">
        <f t="shared" si="293"/>
        <v>0</v>
      </c>
      <c r="BQ173" s="75">
        <f t="shared" si="294"/>
        <v>0</v>
      </c>
      <c r="BR173" s="75">
        <f t="shared" si="295"/>
        <v>0</v>
      </c>
      <c r="BS173" s="75">
        <f t="shared" si="296"/>
        <v>0</v>
      </c>
      <c r="BT173" s="75">
        <f t="shared" si="297"/>
        <v>0</v>
      </c>
      <c r="BU173" s="75">
        <f t="shared" si="298"/>
        <v>0</v>
      </c>
      <c r="BV173" s="75">
        <f t="shared" si="299"/>
        <v>0</v>
      </c>
      <c r="BW173" s="75">
        <f t="shared" si="300"/>
        <v>0</v>
      </c>
      <c r="BX173" s="75"/>
      <c r="BY173" s="75">
        <f t="shared" si="301"/>
        <v>0</v>
      </c>
      <c r="BZ173" s="75">
        <f t="shared" si="301"/>
        <v>0</v>
      </c>
      <c r="CA173" s="25" t="e">
        <f t="shared" si="302"/>
        <v>#DIV/0!</v>
      </c>
      <c r="CB173" s="75">
        <f t="shared" si="283"/>
        <v>0</v>
      </c>
      <c r="CC173" s="75"/>
      <c r="CD173" s="75"/>
      <c r="CE173" s="75"/>
      <c r="CF173" s="75"/>
      <c r="CG173" s="75"/>
      <c r="CH173" s="75"/>
      <c r="CI173" s="75"/>
      <c r="CJ173" s="75"/>
      <c r="CK173" s="75"/>
      <c r="CL173" s="75"/>
      <c r="CM173" s="75"/>
      <c r="CN173" s="75"/>
      <c r="CO173" s="75"/>
      <c r="CP173" s="75"/>
      <c r="CQ173" s="75"/>
      <c r="CR173" s="75"/>
      <c r="CS173" s="75"/>
      <c r="CT173" s="75"/>
      <c r="CU173" s="75"/>
      <c r="CV173" s="75"/>
      <c r="CW173" s="25" t="e">
        <f t="shared" si="303"/>
        <v>#DIV/0!</v>
      </c>
      <c r="CX173" s="75">
        <f t="shared" si="284"/>
        <v>0</v>
      </c>
      <c r="CY173" s="75"/>
      <c r="CZ173" s="75"/>
      <c r="DA173" s="75"/>
      <c r="DB173" s="75">
        <f t="shared" si="247"/>
        <v>0</v>
      </c>
      <c r="DC173" s="75">
        <f t="shared" si="304"/>
        <v>0</v>
      </c>
      <c r="DD173" s="75">
        <f t="shared" si="305"/>
        <v>0</v>
      </c>
      <c r="DE173" s="75">
        <f t="shared" si="306"/>
        <v>0</v>
      </c>
      <c r="DF173" s="75"/>
      <c r="DG173" s="75">
        <f t="shared" si="307"/>
        <v>0</v>
      </c>
      <c r="DH173" s="75">
        <f t="shared" si="308"/>
        <v>0</v>
      </c>
      <c r="DI173" s="75"/>
      <c r="DJ173" s="75">
        <f t="shared" si="309"/>
        <v>0</v>
      </c>
      <c r="DK173" s="75">
        <f t="shared" si="310"/>
        <v>0</v>
      </c>
      <c r="DL173" s="75">
        <f t="shared" si="311"/>
        <v>0</v>
      </c>
      <c r="DM173" s="75">
        <f t="shared" si="312"/>
        <v>0</v>
      </c>
      <c r="DN173" s="75">
        <f t="shared" si="313"/>
        <v>0</v>
      </c>
      <c r="DO173" s="75">
        <f t="shared" si="314"/>
        <v>0</v>
      </c>
      <c r="DP173" s="75">
        <f t="shared" si="315"/>
        <v>0</v>
      </c>
      <c r="DQ173" s="75">
        <f t="shared" si="316"/>
        <v>0</v>
      </c>
      <c r="DR173" s="75">
        <f t="shared" si="317"/>
        <v>0</v>
      </c>
    </row>
    <row r="174" spans="1:122" ht="35.25" customHeight="1" x14ac:dyDescent="0.25">
      <c r="A174" s="246"/>
      <c r="B174" s="85"/>
      <c r="C174" s="86" t="s">
        <v>45</v>
      </c>
      <c r="D174" s="81" t="s">
        <v>44</v>
      </c>
      <c r="E174" s="80">
        <v>510</v>
      </c>
      <c r="F174" s="78" t="s">
        <v>39</v>
      </c>
      <c r="G174" s="228"/>
      <c r="H174" s="79">
        <f t="shared" si="278"/>
        <v>0</v>
      </c>
      <c r="I174" s="79">
        <f t="shared" si="279"/>
        <v>8000000</v>
      </c>
      <c r="J174" s="78"/>
      <c r="K174" s="78"/>
      <c r="L174" s="78"/>
      <c r="M174" s="75">
        <f t="shared" si="280"/>
        <v>8000000</v>
      </c>
      <c r="N174" s="45"/>
      <c r="O174" s="75"/>
      <c r="P174" s="75"/>
      <c r="Q174" s="75">
        <f>8000000-8000000</f>
        <v>0</v>
      </c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>
        <v>8000000</v>
      </c>
      <c r="AD174" s="75"/>
      <c r="AE174" s="75"/>
      <c r="AF174" s="75"/>
      <c r="AG174" s="75"/>
      <c r="AI174" s="25">
        <f t="shared" si="285"/>
        <v>0</v>
      </c>
      <c r="AJ174" s="75">
        <f t="shared" si="281"/>
        <v>0</v>
      </c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25">
        <f t="shared" si="286"/>
        <v>1</v>
      </c>
      <c r="BF174" s="75">
        <f t="shared" si="282"/>
        <v>8000000</v>
      </c>
      <c r="BG174" s="75">
        <f t="shared" si="287"/>
        <v>0</v>
      </c>
      <c r="BH174" s="75">
        <f t="shared" si="288"/>
        <v>0</v>
      </c>
      <c r="BI174" s="75"/>
      <c r="BJ174" s="75">
        <f t="shared" si="246"/>
        <v>0</v>
      </c>
      <c r="BK174" s="75">
        <f t="shared" si="289"/>
        <v>0</v>
      </c>
      <c r="BL174" s="75">
        <f t="shared" si="290"/>
        <v>0</v>
      </c>
      <c r="BM174" s="75">
        <f t="shared" si="291"/>
        <v>0</v>
      </c>
      <c r="BN174" s="75"/>
      <c r="BO174" s="75">
        <f t="shared" si="292"/>
        <v>0</v>
      </c>
      <c r="BP174" s="75">
        <f t="shared" si="293"/>
        <v>0</v>
      </c>
      <c r="BQ174" s="75">
        <f t="shared" si="294"/>
        <v>0</v>
      </c>
      <c r="BR174" s="75">
        <f t="shared" si="295"/>
        <v>0</v>
      </c>
      <c r="BS174" s="75">
        <f t="shared" si="296"/>
        <v>0</v>
      </c>
      <c r="BT174" s="75">
        <f t="shared" si="297"/>
        <v>0</v>
      </c>
      <c r="BU174" s="75">
        <f t="shared" si="298"/>
        <v>0</v>
      </c>
      <c r="BV174" s="75">
        <f t="shared" si="299"/>
        <v>8000000</v>
      </c>
      <c r="BW174" s="75">
        <f t="shared" si="300"/>
        <v>0</v>
      </c>
      <c r="BX174" s="75"/>
      <c r="BY174" s="75">
        <f t="shared" si="301"/>
        <v>0</v>
      </c>
      <c r="BZ174" s="75">
        <f t="shared" si="301"/>
        <v>0</v>
      </c>
      <c r="CA174" s="25">
        <f t="shared" si="302"/>
        <v>0</v>
      </c>
      <c r="CB174" s="75">
        <f t="shared" si="283"/>
        <v>0</v>
      </c>
      <c r="CC174" s="75"/>
      <c r="CD174" s="75"/>
      <c r="CE174" s="75"/>
      <c r="CF174" s="75"/>
      <c r="CG174" s="75"/>
      <c r="CH174" s="75"/>
      <c r="CI174" s="75"/>
      <c r="CJ174" s="75"/>
      <c r="CK174" s="75"/>
      <c r="CL174" s="75"/>
      <c r="CM174" s="75"/>
      <c r="CN174" s="75"/>
      <c r="CO174" s="75"/>
      <c r="CP174" s="75"/>
      <c r="CQ174" s="75"/>
      <c r="CR174" s="75"/>
      <c r="CS174" s="75"/>
      <c r="CT174" s="75"/>
      <c r="CU174" s="75"/>
      <c r="CV174" s="75"/>
      <c r="CW174" s="25">
        <f t="shared" si="303"/>
        <v>1</v>
      </c>
      <c r="CX174" s="75">
        <f t="shared" si="284"/>
        <v>8000000</v>
      </c>
      <c r="CY174" s="75"/>
      <c r="CZ174" s="75"/>
      <c r="DA174" s="75"/>
      <c r="DB174" s="75">
        <f t="shared" si="247"/>
        <v>0</v>
      </c>
      <c r="DC174" s="75">
        <f t="shared" si="304"/>
        <v>0</v>
      </c>
      <c r="DD174" s="75">
        <f t="shared" si="305"/>
        <v>0</v>
      </c>
      <c r="DE174" s="75">
        <f t="shared" si="306"/>
        <v>0</v>
      </c>
      <c r="DF174" s="75"/>
      <c r="DG174" s="75">
        <f t="shared" si="307"/>
        <v>0</v>
      </c>
      <c r="DH174" s="75">
        <f t="shared" si="308"/>
        <v>0</v>
      </c>
      <c r="DI174" s="75"/>
      <c r="DJ174" s="75">
        <f t="shared" si="309"/>
        <v>0</v>
      </c>
      <c r="DK174" s="75">
        <f t="shared" si="310"/>
        <v>0</v>
      </c>
      <c r="DL174" s="75">
        <f t="shared" si="311"/>
        <v>0</v>
      </c>
      <c r="DM174" s="75">
        <f t="shared" si="312"/>
        <v>0</v>
      </c>
      <c r="DN174" s="75">
        <f t="shared" si="313"/>
        <v>8000000</v>
      </c>
      <c r="DO174" s="75">
        <f t="shared" si="314"/>
        <v>0</v>
      </c>
      <c r="DP174" s="75">
        <f t="shared" si="315"/>
        <v>0</v>
      </c>
      <c r="DQ174" s="75">
        <f t="shared" si="316"/>
        <v>0</v>
      </c>
      <c r="DR174" s="75">
        <f t="shared" si="317"/>
        <v>0</v>
      </c>
    </row>
    <row r="175" spans="1:122" ht="36" customHeight="1" x14ac:dyDescent="0.25">
      <c r="A175" s="246"/>
      <c r="B175" s="85"/>
      <c r="C175" s="86" t="s">
        <v>43</v>
      </c>
      <c r="D175" s="81" t="s">
        <v>42</v>
      </c>
      <c r="E175" s="80">
        <v>510</v>
      </c>
      <c r="F175" s="78" t="s">
        <v>39</v>
      </c>
      <c r="G175" s="228"/>
      <c r="H175" s="79">
        <f t="shared" si="278"/>
        <v>74061157</v>
      </c>
      <c r="I175" s="79">
        <f t="shared" si="279"/>
        <v>32938843</v>
      </c>
      <c r="J175" s="78"/>
      <c r="K175" s="78"/>
      <c r="L175" s="78"/>
      <c r="M175" s="75">
        <f t="shared" si="280"/>
        <v>107000000</v>
      </c>
      <c r="N175" s="45"/>
      <c r="O175" s="75"/>
      <c r="P175" s="75"/>
      <c r="Q175" s="75"/>
      <c r="R175" s="75"/>
      <c r="S175" s="75">
        <v>107000000</v>
      </c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I175" s="25">
        <f t="shared" si="285"/>
        <v>0.69216034579439256</v>
      </c>
      <c r="AJ175" s="75">
        <f t="shared" si="281"/>
        <v>74061157</v>
      </c>
      <c r="AK175" s="75"/>
      <c r="AL175" s="75"/>
      <c r="AM175" s="75"/>
      <c r="AN175" s="75"/>
      <c r="AO175" s="75"/>
      <c r="AP175" s="75">
        <f>+'[1]AGOSTO 2015'!$O$2267</f>
        <v>74061157</v>
      </c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25">
        <f t="shared" si="286"/>
        <v>0.30783965420560744</v>
      </c>
      <c r="BF175" s="75">
        <f t="shared" si="282"/>
        <v>32938843</v>
      </c>
      <c r="BG175" s="75">
        <f t="shared" si="287"/>
        <v>0</v>
      </c>
      <c r="BH175" s="75">
        <f t="shared" si="288"/>
        <v>0</v>
      </c>
      <c r="BI175" s="75"/>
      <c r="BJ175" s="75">
        <f t="shared" si="246"/>
        <v>0</v>
      </c>
      <c r="BK175" s="75">
        <f t="shared" si="289"/>
        <v>0</v>
      </c>
      <c r="BL175" s="75">
        <f t="shared" si="290"/>
        <v>32938843</v>
      </c>
      <c r="BM175" s="75">
        <f t="shared" si="291"/>
        <v>0</v>
      </c>
      <c r="BN175" s="75"/>
      <c r="BO175" s="75">
        <f t="shared" si="292"/>
        <v>0</v>
      </c>
      <c r="BP175" s="75">
        <f t="shared" si="293"/>
        <v>0</v>
      </c>
      <c r="BQ175" s="75">
        <f t="shared" si="294"/>
        <v>0</v>
      </c>
      <c r="BR175" s="75">
        <f t="shared" si="295"/>
        <v>0</v>
      </c>
      <c r="BS175" s="75">
        <f t="shared" si="296"/>
        <v>0</v>
      </c>
      <c r="BT175" s="75">
        <f t="shared" si="297"/>
        <v>0</v>
      </c>
      <c r="BU175" s="75">
        <f t="shared" si="298"/>
        <v>0</v>
      </c>
      <c r="BV175" s="75">
        <f t="shared" si="299"/>
        <v>0</v>
      </c>
      <c r="BW175" s="75">
        <f t="shared" si="300"/>
        <v>0</v>
      </c>
      <c r="BX175" s="75"/>
      <c r="BY175" s="75"/>
      <c r="BZ175" s="75">
        <f t="shared" ref="BZ175:BZ186" si="318">+AG175-BD175</f>
        <v>0</v>
      </c>
      <c r="CA175" s="25">
        <f t="shared" si="302"/>
        <v>0.69216034579439256</v>
      </c>
      <c r="CB175" s="75">
        <f t="shared" si="283"/>
        <v>74061157</v>
      </c>
      <c r="CC175" s="75"/>
      <c r="CD175" s="75"/>
      <c r="CE175" s="75"/>
      <c r="CF175" s="75"/>
      <c r="CG175" s="75"/>
      <c r="CH175" s="75">
        <f>+'[1]AGOSTO 2015'!$H$2265</f>
        <v>74061157</v>
      </c>
      <c r="CI175" s="75"/>
      <c r="CJ175" s="75"/>
      <c r="CK175" s="75"/>
      <c r="CL175" s="75"/>
      <c r="CM175" s="75"/>
      <c r="CN175" s="75"/>
      <c r="CO175" s="75"/>
      <c r="CP175" s="75"/>
      <c r="CQ175" s="75"/>
      <c r="CR175" s="75"/>
      <c r="CS175" s="75"/>
      <c r="CT175" s="75"/>
      <c r="CU175" s="75"/>
      <c r="CV175" s="75"/>
      <c r="CW175" s="25">
        <f t="shared" si="303"/>
        <v>0.30783965420560744</v>
      </c>
      <c r="CX175" s="75">
        <f t="shared" si="284"/>
        <v>32938843</v>
      </c>
      <c r="CY175" s="75"/>
      <c r="CZ175" s="75"/>
      <c r="DA175" s="75"/>
      <c r="DB175" s="75">
        <f t="shared" si="247"/>
        <v>0</v>
      </c>
      <c r="DC175" s="75">
        <f t="shared" si="304"/>
        <v>0</v>
      </c>
      <c r="DD175" s="75">
        <f t="shared" si="305"/>
        <v>32938843</v>
      </c>
      <c r="DE175" s="75">
        <f t="shared" si="306"/>
        <v>0</v>
      </c>
      <c r="DF175" s="75"/>
      <c r="DG175" s="75">
        <f t="shared" si="307"/>
        <v>0</v>
      </c>
      <c r="DH175" s="75">
        <f t="shared" si="308"/>
        <v>0</v>
      </c>
      <c r="DI175" s="75"/>
      <c r="DJ175" s="75">
        <f t="shared" si="309"/>
        <v>0</v>
      </c>
      <c r="DK175" s="75">
        <f t="shared" si="310"/>
        <v>0</v>
      </c>
      <c r="DL175" s="75">
        <f t="shared" si="311"/>
        <v>0</v>
      </c>
      <c r="DM175" s="75">
        <f t="shared" si="312"/>
        <v>0</v>
      </c>
      <c r="DN175" s="75">
        <f t="shared" si="313"/>
        <v>0</v>
      </c>
      <c r="DO175" s="75">
        <f t="shared" si="314"/>
        <v>0</v>
      </c>
      <c r="DP175" s="75">
        <f t="shared" si="315"/>
        <v>0</v>
      </c>
      <c r="DQ175" s="75">
        <f t="shared" si="316"/>
        <v>0</v>
      </c>
      <c r="DR175" s="75">
        <f t="shared" si="317"/>
        <v>0</v>
      </c>
    </row>
    <row r="176" spans="1:122" ht="33" customHeight="1" x14ac:dyDescent="0.25">
      <c r="A176" s="246"/>
      <c r="B176" s="85"/>
      <c r="C176" s="86" t="s">
        <v>41</v>
      </c>
      <c r="D176" s="81" t="s">
        <v>40</v>
      </c>
      <c r="E176" s="80">
        <v>510</v>
      </c>
      <c r="F176" s="78" t="s">
        <v>39</v>
      </c>
      <c r="G176" s="229"/>
      <c r="H176" s="79">
        <f t="shared" si="278"/>
        <v>0</v>
      </c>
      <c r="I176" s="79">
        <f t="shared" si="279"/>
        <v>0</v>
      </c>
      <c r="J176" s="78"/>
      <c r="K176" s="78"/>
      <c r="L176" s="78"/>
      <c r="M176" s="75">
        <f t="shared" si="280"/>
        <v>0</v>
      </c>
      <c r="N176" s="45"/>
      <c r="O176" s="75"/>
      <c r="P176" s="75"/>
      <c r="Q176" s="75">
        <f>15000000-15000000</f>
        <v>0</v>
      </c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I176" s="25" t="e">
        <f t="shared" si="285"/>
        <v>#DIV/0!</v>
      </c>
      <c r="AJ176" s="75">
        <f t="shared" si="281"/>
        <v>0</v>
      </c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25" t="e">
        <f t="shared" si="286"/>
        <v>#DIV/0!</v>
      </c>
      <c r="BF176" s="75">
        <f t="shared" si="282"/>
        <v>0</v>
      </c>
      <c r="BG176" s="75">
        <f t="shared" si="287"/>
        <v>0</v>
      </c>
      <c r="BH176" s="75">
        <f t="shared" si="288"/>
        <v>0</v>
      </c>
      <c r="BI176" s="75"/>
      <c r="BJ176" s="75">
        <f t="shared" si="246"/>
        <v>0</v>
      </c>
      <c r="BK176" s="75">
        <f t="shared" si="289"/>
        <v>0</v>
      </c>
      <c r="BL176" s="75">
        <f t="shared" si="290"/>
        <v>0</v>
      </c>
      <c r="BM176" s="75">
        <f t="shared" si="291"/>
        <v>0</v>
      </c>
      <c r="BN176" s="75"/>
      <c r="BO176" s="75">
        <f t="shared" si="292"/>
        <v>0</v>
      </c>
      <c r="BP176" s="75">
        <f t="shared" si="293"/>
        <v>0</v>
      </c>
      <c r="BQ176" s="75">
        <f t="shared" si="294"/>
        <v>0</v>
      </c>
      <c r="BR176" s="75">
        <f t="shared" si="295"/>
        <v>0</v>
      </c>
      <c r="BS176" s="75">
        <f t="shared" si="296"/>
        <v>0</v>
      </c>
      <c r="BT176" s="75">
        <f t="shared" si="297"/>
        <v>0</v>
      </c>
      <c r="BU176" s="75">
        <f t="shared" si="298"/>
        <v>0</v>
      </c>
      <c r="BV176" s="75">
        <f t="shared" si="299"/>
        <v>0</v>
      </c>
      <c r="BW176" s="75">
        <f t="shared" si="300"/>
        <v>0</v>
      </c>
      <c r="BX176" s="75"/>
      <c r="BY176" s="75"/>
      <c r="BZ176" s="75">
        <f t="shared" si="318"/>
        <v>0</v>
      </c>
      <c r="CA176" s="25" t="e">
        <f t="shared" si="302"/>
        <v>#DIV/0!</v>
      </c>
      <c r="CB176" s="75">
        <f t="shared" si="283"/>
        <v>0</v>
      </c>
      <c r="CC176" s="75"/>
      <c r="CD176" s="75"/>
      <c r="CE176" s="75"/>
      <c r="CF176" s="75"/>
      <c r="CG176" s="75"/>
      <c r="CH176" s="75"/>
      <c r="CI176" s="75"/>
      <c r="CJ176" s="75"/>
      <c r="CK176" s="75"/>
      <c r="CL176" s="75"/>
      <c r="CM176" s="75"/>
      <c r="CN176" s="75"/>
      <c r="CO176" s="75"/>
      <c r="CP176" s="75"/>
      <c r="CQ176" s="75"/>
      <c r="CR176" s="75"/>
      <c r="CS176" s="75"/>
      <c r="CT176" s="75"/>
      <c r="CU176" s="75"/>
      <c r="CV176" s="75"/>
      <c r="CW176" s="25" t="e">
        <f t="shared" si="303"/>
        <v>#DIV/0!</v>
      </c>
      <c r="CX176" s="75">
        <f t="shared" si="284"/>
        <v>0</v>
      </c>
      <c r="CY176" s="75"/>
      <c r="CZ176" s="75"/>
      <c r="DA176" s="75"/>
      <c r="DB176" s="75">
        <f t="shared" si="247"/>
        <v>0</v>
      </c>
      <c r="DC176" s="75">
        <f t="shared" si="304"/>
        <v>0</v>
      </c>
      <c r="DD176" s="75">
        <f t="shared" si="305"/>
        <v>0</v>
      </c>
      <c r="DE176" s="75">
        <f t="shared" si="306"/>
        <v>0</v>
      </c>
      <c r="DF176" s="75"/>
      <c r="DG176" s="75">
        <f t="shared" si="307"/>
        <v>0</v>
      </c>
      <c r="DH176" s="75">
        <f t="shared" si="308"/>
        <v>0</v>
      </c>
      <c r="DI176" s="75"/>
      <c r="DJ176" s="75">
        <f t="shared" si="309"/>
        <v>0</v>
      </c>
      <c r="DK176" s="75">
        <f t="shared" si="310"/>
        <v>0</v>
      </c>
      <c r="DL176" s="75">
        <f t="shared" si="311"/>
        <v>0</v>
      </c>
      <c r="DM176" s="75">
        <f t="shared" si="312"/>
        <v>0</v>
      </c>
      <c r="DN176" s="75">
        <f t="shared" si="313"/>
        <v>0</v>
      </c>
      <c r="DO176" s="75">
        <f t="shared" si="314"/>
        <v>0</v>
      </c>
      <c r="DP176" s="75">
        <f t="shared" si="315"/>
        <v>0</v>
      </c>
      <c r="DQ176" s="75">
        <f t="shared" si="316"/>
        <v>0</v>
      </c>
      <c r="DR176" s="75">
        <f t="shared" si="317"/>
        <v>0</v>
      </c>
    </row>
    <row r="177" spans="1:122" ht="35.25" customHeight="1" x14ac:dyDescent="0.25">
      <c r="A177" s="246"/>
      <c r="B177" s="85" t="s">
        <v>38</v>
      </c>
      <c r="C177" s="86" t="s">
        <v>37</v>
      </c>
      <c r="D177" s="81" t="s">
        <v>36</v>
      </c>
      <c r="E177" s="80">
        <v>510</v>
      </c>
      <c r="F177" s="78" t="s">
        <v>35</v>
      </c>
      <c r="G177" s="78">
        <v>80000000</v>
      </c>
      <c r="H177" s="79">
        <f t="shared" si="278"/>
        <v>57876300</v>
      </c>
      <c r="I177" s="79">
        <f t="shared" si="279"/>
        <v>22123700</v>
      </c>
      <c r="J177" s="78"/>
      <c r="K177" s="78"/>
      <c r="L177" s="78"/>
      <c r="M177" s="75">
        <f t="shared" si="280"/>
        <v>80000000</v>
      </c>
      <c r="N177" s="45"/>
      <c r="O177" s="75"/>
      <c r="P177" s="75"/>
      <c r="Q177" s="75"/>
      <c r="R177" s="75"/>
      <c r="S177" s="75">
        <v>80000000</v>
      </c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I177" s="25">
        <f t="shared" si="285"/>
        <v>0.84095375000000006</v>
      </c>
      <c r="AJ177" s="75">
        <f t="shared" si="281"/>
        <v>67276300</v>
      </c>
      <c r="AK177" s="75"/>
      <c r="AL177" s="75"/>
      <c r="AM177" s="75"/>
      <c r="AN177" s="75"/>
      <c r="AO177" s="75"/>
      <c r="AP177" s="75">
        <f>+'[1]AGOSTO 2015'!$O$2289</f>
        <v>67276300</v>
      </c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25">
        <f t="shared" si="286"/>
        <v>0.15904624999999994</v>
      </c>
      <c r="BF177" s="75">
        <f t="shared" si="282"/>
        <v>12723700</v>
      </c>
      <c r="BG177" s="75">
        <f t="shared" si="287"/>
        <v>0</v>
      </c>
      <c r="BH177" s="75">
        <f t="shared" si="288"/>
        <v>0</v>
      </c>
      <c r="BI177" s="75"/>
      <c r="BJ177" s="75">
        <f t="shared" si="246"/>
        <v>0</v>
      </c>
      <c r="BK177" s="75">
        <f t="shared" si="289"/>
        <v>0</v>
      </c>
      <c r="BL177" s="75">
        <f t="shared" si="290"/>
        <v>12723700</v>
      </c>
      <c r="BM177" s="75">
        <f t="shared" si="291"/>
        <v>0</v>
      </c>
      <c r="BN177" s="75"/>
      <c r="BO177" s="75">
        <f t="shared" si="292"/>
        <v>0</v>
      </c>
      <c r="BP177" s="75">
        <f t="shared" si="293"/>
        <v>0</v>
      </c>
      <c r="BQ177" s="75">
        <f t="shared" si="294"/>
        <v>0</v>
      </c>
      <c r="BR177" s="75">
        <f t="shared" si="295"/>
        <v>0</v>
      </c>
      <c r="BS177" s="75">
        <f t="shared" si="296"/>
        <v>0</v>
      </c>
      <c r="BT177" s="75">
        <f t="shared" si="297"/>
        <v>0</v>
      </c>
      <c r="BU177" s="75">
        <f t="shared" si="298"/>
        <v>0</v>
      </c>
      <c r="BV177" s="75">
        <f t="shared" si="299"/>
        <v>0</v>
      </c>
      <c r="BW177" s="75">
        <f t="shared" si="300"/>
        <v>0</v>
      </c>
      <c r="BX177" s="75"/>
      <c r="BY177" s="75"/>
      <c r="BZ177" s="75">
        <f t="shared" si="318"/>
        <v>0</v>
      </c>
      <c r="CA177" s="25">
        <f t="shared" si="302"/>
        <v>0.72345375000000001</v>
      </c>
      <c r="CB177" s="75">
        <f t="shared" si="283"/>
        <v>57876300</v>
      </c>
      <c r="CC177" s="75"/>
      <c r="CD177" s="75"/>
      <c r="CE177" s="75"/>
      <c r="CF177" s="75"/>
      <c r="CG177" s="75"/>
      <c r="CH177" s="75">
        <f>+'[1]AGOSTO 2015'!$H$2287</f>
        <v>57876300</v>
      </c>
      <c r="CI177" s="75"/>
      <c r="CJ177" s="75"/>
      <c r="CK177" s="75"/>
      <c r="CL177" s="75"/>
      <c r="CM177" s="75"/>
      <c r="CN177" s="75"/>
      <c r="CO177" s="75"/>
      <c r="CP177" s="75"/>
      <c r="CQ177" s="75"/>
      <c r="CR177" s="75"/>
      <c r="CS177" s="75"/>
      <c r="CT177" s="75"/>
      <c r="CU177" s="75"/>
      <c r="CV177" s="75"/>
      <c r="CW177" s="25">
        <f t="shared" si="303"/>
        <v>0.27654624999999999</v>
      </c>
      <c r="CX177" s="75">
        <f t="shared" si="284"/>
        <v>22123700</v>
      </c>
      <c r="CY177" s="75"/>
      <c r="CZ177" s="75"/>
      <c r="DA177" s="75"/>
      <c r="DB177" s="75">
        <f t="shared" si="247"/>
        <v>0</v>
      </c>
      <c r="DC177" s="75">
        <f t="shared" si="304"/>
        <v>0</v>
      </c>
      <c r="DD177" s="75">
        <f t="shared" si="305"/>
        <v>22123700</v>
      </c>
      <c r="DE177" s="75">
        <f t="shared" si="306"/>
        <v>0</v>
      </c>
      <c r="DF177" s="75"/>
      <c r="DG177" s="75">
        <f t="shared" si="307"/>
        <v>0</v>
      </c>
      <c r="DH177" s="75">
        <f t="shared" si="308"/>
        <v>0</v>
      </c>
      <c r="DI177" s="75"/>
      <c r="DJ177" s="75">
        <f t="shared" si="309"/>
        <v>0</v>
      </c>
      <c r="DK177" s="75">
        <f t="shared" si="310"/>
        <v>0</v>
      </c>
      <c r="DL177" s="75">
        <f t="shared" si="311"/>
        <v>0</v>
      </c>
      <c r="DM177" s="75">
        <f t="shared" si="312"/>
        <v>0</v>
      </c>
      <c r="DN177" s="75">
        <f t="shared" si="313"/>
        <v>0</v>
      </c>
      <c r="DO177" s="75">
        <f t="shared" si="314"/>
        <v>0</v>
      </c>
      <c r="DP177" s="75">
        <f t="shared" si="315"/>
        <v>0</v>
      </c>
      <c r="DQ177" s="75">
        <f t="shared" si="316"/>
        <v>0</v>
      </c>
      <c r="DR177" s="75">
        <f t="shared" si="317"/>
        <v>0</v>
      </c>
    </row>
    <row r="178" spans="1:122" ht="25.5" customHeight="1" x14ac:dyDescent="0.25">
      <c r="A178" s="246"/>
      <c r="B178" s="85" t="s">
        <v>34</v>
      </c>
      <c r="C178" s="86" t="s">
        <v>33</v>
      </c>
      <c r="D178" s="81" t="s">
        <v>32</v>
      </c>
      <c r="E178" s="80">
        <v>510</v>
      </c>
      <c r="F178" s="78" t="s">
        <v>12</v>
      </c>
      <c r="G178" s="227">
        <v>120000000</v>
      </c>
      <c r="H178" s="79">
        <f t="shared" si="278"/>
        <v>0</v>
      </c>
      <c r="I178" s="79">
        <f t="shared" si="279"/>
        <v>1000000</v>
      </c>
      <c r="J178" s="78"/>
      <c r="K178" s="78"/>
      <c r="L178" s="78"/>
      <c r="M178" s="75">
        <f t="shared" si="280"/>
        <v>1000000</v>
      </c>
      <c r="N178" s="45"/>
      <c r="O178" s="75"/>
      <c r="P178" s="75"/>
      <c r="Q178" s="75"/>
      <c r="R178" s="75"/>
      <c r="S178" s="75">
        <v>1000000</v>
      </c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I178" s="25">
        <f t="shared" si="285"/>
        <v>0</v>
      </c>
      <c r="AJ178" s="75">
        <f t="shared" si="281"/>
        <v>0</v>
      </c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25">
        <f t="shared" si="286"/>
        <v>1</v>
      </c>
      <c r="BF178" s="75">
        <f t="shared" si="282"/>
        <v>1000000</v>
      </c>
      <c r="BG178" s="75">
        <f t="shared" si="287"/>
        <v>0</v>
      </c>
      <c r="BH178" s="75">
        <f t="shared" si="288"/>
        <v>0</v>
      </c>
      <c r="BI178" s="75"/>
      <c r="BJ178" s="75">
        <f t="shared" si="246"/>
        <v>0</v>
      </c>
      <c r="BK178" s="75">
        <f t="shared" si="289"/>
        <v>0</v>
      </c>
      <c r="BL178" s="75">
        <f t="shared" si="290"/>
        <v>1000000</v>
      </c>
      <c r="BM178" s="75">
        <f t="shared" si="291"/>
        <v>0</v>
      </c>
      <c r="BN178" s="75"/>
      <c r="BO178" s="75">
        <f t="shared" si="292"/>
        <v>0</v>
      </c>
      <c r="BP178" s="75">
        <f t="shared" si="293"/>
        <v>0</v>
      </c>
      <c r="BQ178" s="75">
        <f t="shared" si="294"/>
        <v>0</v>
      </c>
      <c r="BR178" s="75">
        <f t="shared" si="295"/>
        <v>0</v>
      </c>
      <c r="BS178" s="75">
        <f t="shared" si="296"/>
        <v>0</v>
      </c>
      <c r="BT178" s="75">
        <f t="shared" si="297"/>
        <v>0</v>
      </c>
      <c r="BU178" s="75">
        <f t="shared" si="298"/>
        <v>0</v>
      </c>
      <c r="BV178" s="75">
        <f t="shared" si="299"/>
        <v>0</v>
      </c>
      <c r="BW178" s="75">
        <f t="shared" si="300"/>
        <v>0</v>
      </c>
      <c r="BX178" s="75"/>
      <c r="BY178" s="75"/>
      <c r="BZ178" s="75">
        <f t="shared" si="318"/>
        <v>0</v>
      </c>
      <c r="CA178" s="25">
        <f t="shared" si="302"/>
        <v>0</v>
      </c>
      <c r="CB178" s="75">
        <f t="shared" si="283"/>
        <v>0</v>
      </c>
      <c r="CC178" s="75"/>
      <c r="CD178" s="75"/>
      <c r="CE178" s="75"/>
      <c r="CF178" s="75"/>
      <c r="CG178" s="75"/>
      <c r="CH178" s="75"/>
      <c r="CI178" s="75"/>
      <c r="CJ178" s="75"/>
      <c r="CK178" s="75"/>
      <c r="CL178" s="75"/>
      <c r="CM178" s="75"/>
      <c r="CN178" s="75"/>
      <c r="CO178" s="75"/>
      <c r="CP178" s="75"/>
      <c r="CQ178" s="75"/>
      <c r="CR178" s="75"/>
      <c r="CS178" s="75"/>
      <c r="CT178" s="75"/>
      <c r="CU178" s="75"/>
      <c r="CV178" s="75"/>
      <c r="CW178" s="25">
        <f t="shared" si="303"/>
        <v>1</v>
      </c>
      <c r="CX178" s="75">
        <f t="shared" si="284"/>
        <v>1000000</v>
      </c>
      <c r="CY178" s="75"/>
      <c r="CZ178" s="75"/>
      <c r="DA178" s="75"/>
      <c r="DB178" s="75">
        <f t="shared" si="247"/>
        <v>0</v>
      </c>
      <c r="DC178" s="75">
        <f t="shared" si="304"/>
        <v>0</v>
      </c>
      <c r="DD178" s="75">
        <f t="shared" si="305"/>
        <v>1000000</v>
      </c>
      <c r="DE178" s="75">
        <f t="shared" si="306"/>
        <v>0</v>
      </c>
      <c r="DF178" s="75"/>
      <c r="DG178" s="75">
        <f t="shared" si="307"/>
        <v>0</v>
      </c>
      <c r="DH178" s="75">
        <f t="shared" si="308"/>
        <v>0</v>
      </c>
      <c r="DI178" s="75"/>
      <c r="DJ178" s="75">
        <f t="shared" si="309"/>
        <v>0</v>
      </c>
      <c r="DK178" s="75">
        <f t="shared" si="310"/>
        <v>0</v>
      </c>
      <c r="DL178" s="75">
        <f t="shared" si="311"/>
        <v>0</v>
      </c>
      <c r="DM178" s="75">
        <f t="shared" si="312"/>
        <v>0</v>
      </c>
      <c r="DN178" s="75">
        <f t="shared" si="313"/>
        <v>0</v>
      </c>
      <c r="DO178" s="75">
        <f t="shared" si="314"/>
        <v>0</v>
      </c>
      <c r="DP178" s="75">
        <f t="shared" si="315"/>
        <v>0</v>
      </c>
      <c r="DQ178" s="75">
        <f t="shared" si="316"/>
        <v>0</v>
      </c>
      <c r="DR178" s="75">
        <f t="shared" si="317"/>
        <v>0</v>
      </c>
    </row>
    <row r="179" spans="1:122" ht="24" customHeight="1" x14ac:dyDescent="0.25">
      <c r="A179" s="246"/>
      <c r="B179" s="85"/>
      <c r="C179" s="86" t="s">
        <v>31</v>
      </c>
      <c r="D179" s="81" t="s">
        <v>30</v>
      </c>
      <c r="E179" s="80">
        <v>510</v>
      </c>
      <c r="F179" s="78" t="s">
        <v>12</v>
      </c>
      <c r="G179" s="228"/>
      <c r="H179" s="79">
        <f t="shared" si="278"/>
        <v>0</v>
      </c>
      <c r="I179" s="79">
        <f t="shared" si="279"/>
        <v>5000000</v>
      </c>
      <c r="J179" s="78"/>
      <c r="K179" s="78"/>
      <c r="L179" s="78"/>
      <c r="M179" s="75">
        <f t="shared" si="280"/>
        <v>5000000</v>
      </c>
      <c r="N179" s="45"/>
      <c r="O179" s="75"/>
      <c r="P179" s="75"/>
      <c r="Q179" s="75"/>
      <c r="R179" s="75"/>
      <c r="S179" s="75">
        <v>5000000</v>
      </c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I179" s="25">
        <f t="shared" si="285"/>
        <v>0</v>
      </c>
      <c r="AJ179" s="75">
        <f t="shared" si="281"/>
        <v>0</v>
      </c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25">
        <f t="shared" si="286"/>
        <v>1</v>
      </c>
      <c r="BF179" s="75">
        <f t="shared" si="282"/>
        <v>5000000</v>
      </c>
      <c r="BG179" s="75">
        <f t="shared" si="287"/>
        <v>0</v>
      </c>
      <c r="BH179" s="75">
        <f t="shared" si="288"/>
        <v>0</v>
      </c>
      <c r="BI179" s="75"/>
      <c r="BJ179" s="75">
        <f t="shared" si="246"/>
        <v>0</v>
      </c>
      <c r="BK179" s="75">
        <f t="shared" si="289"/>
        <v>0</v>
      </c>
      <c r="BL179" s="75">
        <f t="shared" si="290"/>
        <v>5000000</v>
      </c>
      <c r="BM179" s="75">
        <f t="shared" si="291"/>
        <v>0</v>
      </c>
      <c r="BN179" s="75"/>
      <c r="BO179" s="75">
        <f t="shared" si="292"/>
        <v>0</v>
      </c>
      <c r="BP179" s="75">
        <f t="shared" si="293"/>
        <v>0</v>
      </c>
      <c r="BQ179" s="75">
        <f t="shared" si="294"/>
        <v>0</v>
      </c>
      <c r="BR179" s="75">
        <f t="shared" si="295"/>
        <v>0</v>
      </c>
      <c r="BS179" s="75">
        <f t="shared" si="296"/>
        <v>0</v>
      </c>
      <c r="BT179" s="75">
        <f t="shared" si="297"/>
        <v>0</v>
      </c>
      <c r="BU179" s="75">
        <f t="shared" si="298"/>
        <v>0</v>
      </c>
      <c r="BV179" s="75">
        <f t="shared" si="299"/>
        <v>0</v>
      </c>
      <c r="BW179" s="75">
        <f t="shared" si="300"/>
        <v>0</v>
      </c>
      <c r="BX179" s="75"/>
      <c r="BY179" s="75"/>
      <c r="BZ179" s="75">
        <f t="shared" si="318"/>
        <v>0</v>
      </c>
      <c r="CA179" s="25">
        <f t="shared" si="302"/>
        <v>0</v>
      </c>
      <c r="CB179" s="75">
        <f t="shared" si="283"/>
        <v>0</v>
      </c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25">
        <f t="shared" si="303"/>
        <v>1</v>
      </c>
      <c r="CX179" s="75">
        <f t="shared" si="284"/>
        <v>5000000</v>
      </c>
      <c r="CY179" s="75"/>
      <c r="CZ179" s="75"/>
      <c r="DA179" s="75"/>
      <c r="DB179" s="75">
        <f t="shared" si="247"/>
        <v>0</v>
      </c>
      <c r="DC179" s="75">
        <f t="shared" si="304"/>
        <v>0</v>
      </c>
      <c r="DD179" s="75">
        <f t="shared" si="305"/>
        <v>5000000</v>
      </c>
      <c r="DE179" s="75">
        <f t="shared" si="306"/>
        <v>0</v>
      </c>
      <c r="DF179" s="75"/>
      <c r="DG179" s="75">
        <f t="shared" si="307"/>
        <v>0</v>
      </c>
      <c r="DH179" s="75">
        <f t="shared" si="308"/>
        <v>0</v>
      </c>
      <c r="DI179" s="75"/>
      <c r="DJ179" s="75">
        <f t="shared" si="309"/>
        <v>0</v>
      </c>
      <c r="DK179" s="75">
        <f t="shared" si="310"/>
        <v>0</v>
      </c>
      <c r="DL179" s="75">
        <f t="shared" si="311"/>
        <v>0</v>
      </c>
      <c r="DM179" s="75">
        <f t="shared" si="312"/>
        <v>0</v>
      </c>
      <c r="DN179" s="75">
        <f t="shared" si="313"/>
        <v>0</v>
      </c>
      <c r="DO179" s="75">
        <f t="shared" si="314"/>
        <v>0</v>
      </c>
      <c r="DP179" s="75">
        <f t="shared" si="315"/>
        <v>0</v>
      </c>
      <c r="DQ179" s="75">
        <f t="shared" si="316"/>
        <v>0</v>
      </c>
      <c r="DR179" s="75">
        <f t="shared" si="317"/>
        <v>0</v>
      </c>
    </row>
    <row r="180" spans="1:122" ht="51" customHeight="1" x14ac:dyDescent="0.25">
      <c r="A180" s="246"/>
      <c r="B180" s="85"/>
      <c r="C180" s="86" t="s">
        <v>29</v>
      </c>
      <c r="D180" s="81" t="s">
        <v>28</v>
      </c>
      <c r="E180" s="80">
        <v>510</v>
      </c>
      <c r="F180" s="78" t="s">
        <v>12</v>
      </c>
      <c r="G180" s="228"/>
      <c r="H180" s="79">
        <f t="shared" si="278"/>
        <v>23930000</v>
      </c>
      <c r="I180" s="79">
        <f t="shared" si="279"/>
        <v>87070000</v>
      </c>
      <c r="J180" s="78"/>
      <c r="K180" s="78"/>
      <c r="L180" s="78"/>
      <c r="M180" s="75">
        <f t="shared" si="280"/>
        <v>111000000</v>
      </c>
      <c r="N180" s="45"/>
      <c r="O180" s="75"/>
      <c r="P180" s="75"/>
      <c r="Q180" s="75"/>
      <c r="R180" s="75"/>
      <c r="S180" s="75">
        <v>111000000</v>
      </c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I180" s="25">
        <f t="shared" si="285"/>
        <v>0.27027027027027029</v>
      </c>
      <c r="AJ180" s="75">
        <f t="shared" si="281"/>
        <v>30000000</v>
      </c>
      <c r="AK180" s="75"/>
      <c r="AL180" s="75"/>
      <c r="AM180" s="75"/>
      <c r="AN180" s="75"/>
      <c r="AO180" s="75"/>
      <c r="AP180" s="75">
        <f>+'[1]AGOSTO 2015'!$O$2319</f>
        <v>30000000</v>
      </c>
      <c r="AQ180" s="75"/>
      <c r="AR180" s="75"/>
      <c r="AS180" s="75"/>
      <c r="AT180" s="75"/>
      <c r="AU180" s="75"/>
      <c r="AV180" s="75"/>
      <c r="AW180" s="75"/>
      <c r="AX180" s="75"/>
      <c r="AY180" s="75"/>
      <c r="AZ180" s="75"/>
      <c r="BA180" s="75"/>
      <c r="BB180" s="75"/>
      <c r="BC180" s="75"/>
      <c r="BD180" s="75"/>
      <c r="BE180" s="25">
        <f t="shared" si="286"/>
        <v>0.72972972972972971</v>
      </c>
      <c r="BF180" s="75">
        <f t="shared" si="282"/>
        <v>81000000</v>
      </c>
      <c r="BG180" s="75">
        <f t="shared" si="287"/>
        <v>0</v>
      </c>
      <c r="BH180" s="75">
        <f t="shared" si="288"/>
        <v>0</v>
      </c>
      <c r="BI180" s="75"/>
      <c r="BJ180" s="75">
        <f t="shared" si="246"/>
        <v>0</v>
      </c>
      <c r="BK180" s="75">
        <f t="shared" si="289"/>
        <v>0</v>
      </c>
      <c r="BL180" s="75">
        <f t="shared" si="290"/>
        <v>81000000</v>
      </c>
      <c r="BM180" s="75">
        <f t="shared" si="291"/>
        <v>0</v>
      </c>
      <c r="BN180" s="75"/>
      <c r="BO180" s="75">
        <f t="shared" si="292"/>
        <v>0</v>
      </c>
      <c r="BP180" s="75">
        <f t="shared" si="293"/>
        <v>0</v>
      </c>
      <c r="BQ180" s="75">
        <f t="shared" si="294"/>
        <v>0</v>
      </c>
      <c r="BR180" s="75">
        <f t="shared" si="295"/>
        <v>0</v>
      </c>
      <c r="BS180" s="75">
        <f t="shared" si="296"/>
        <v>0</v>
      </c>
      <c r="BT180" s="75">
        <f t="shared" si="297"/>
        <v>0</v>
      </c>
      <c r="BU180" s="75">
        <f t="shared" si="298"/>
        <v>0</v>
      </c>
      <c r="BV180" s="75">
        <f t="shared" si="299"/>
        <v>0</v>
      </c>
      <c r="BW180" s="75">
        <f t="shared" si="300"/>
        <v>0</v>
      </c>
      <c r="BX180" s="75"/>
      <c r="BY180" s="75"/>
      <c r="BZ180" s="75">
        <f t="shared" si="318"/>
        <v>0</v>
      </c>
      <c r="CA180" s="25">
        <f t="shared" si="302"/>
        <v>0.21558558558558558</v>
      </c>
      <c r="CB180" s="75">
        <f t="shared" si="283"/>
        <v>23930000</v>
      </c>
      <c r="CC180" s="75"/>
      <c r="CD180" s="75"/>
      <c r="CE180" s="75"/>
      <c r="CF180" s="75"/>
      <c r="CG180" s="75"/>
      <c r="CH180" s="75">
        <f>+'[1]AGOSTO 2015'!$H$2317</f>
        <v>23930000</v>
      </c>
      <c r="CI180" s="75"/>
      <c r="CJ180" s="75"/>
      <c r="CK180" s="75"/>
      <c r="CL180" s="75"/>
      <c r="CM180" s="75"/>
      <c r="CN180" s="75"/>
      <c r="CO180" s="75"/>
      <c r="CP180" s="75"/>
      <c r="CQ180" s="75"/>
      <c r="CR180" s="75"/>
      <c r="CS180" s="75"/>
      <c r="CT180" s="75"/>
      <c r="CU180" s="75"/>
      <c r="CV180" s="75"/>
      <c r="CW180" s="25">
        <f t="shared" si="303"/>
        <v>0.7844144144144144</v>
      </c>
      <c r="CX180" s="75">
        <f t="shared" si="284"/>
        <v>87070000</v>
      </c>
      <c r="CY180" s="75"/>
      <c r="CZ180" s="75"/>
      <c r="DA180" s="75"/>
      <c r="DB180" s="75">
        <f t="shared" si="247"/>
        <v>0</v>
      </c>
      <c r="DC180" s="75">
        <f t="shared" si="304"/>
        <v>0</v>
      </c>
      <c r="DD180" s="75">
        <f t="shared" si="305"/>
        <v>87070000</v>
      </c>
      <c r="DE180" s="75">
        <f t="shared" si="306"/>
        <v>0</v>
      </c>
      <c r="DF180" s="75"/>
      <c r="DG180" s="75">
        <f t="shared" si="307"/>
        <v>0</v>
      </c>
      <c r="DH180" s="75">
        <f t="shared" si="308"/>
        <v>0</v>
      </c>
      <c r="DI180" s="75"/>
      <c r="DJ180" s="75">
        <f t="shared" si="309"/>
        <v>0</v>
      </c>
      <c r="DK180" s="75">
        <f t="shared" si="310"/>
        <v>0</v>
      </c>
      <c r="DL180" s="75">
        <f t="shared" si="311"/>
        <v>0</v>
      </c>
      <c r="DM180" s="75">
        <f t="shared" si="312"/>
        <v>0</v>
      </c>
      <c r="DN180" s="75">
        <f t="shared" si="313"/>
        <v>0</v>
      </c>
      <c r="DO180" s="75">
        <f t="shared" si="314"/>
        <v>0</v>
      </c>
      <c r="DP180" s="75">
        <f t="shared" si="315"/>
        <v>0</v>
      </c>
      <c r="DQ180" s="75">
        <f t="shared" si="316"/>
        <v>0</v>
      </c>
      <c r="DR180" s="75">
        <f t="shared" si="317"/>
        <v>0</v>
      </c>
    </row>
    <row r="181" spans="1:122" ht="23.25" customHeight="1" x14ac:dyDescent="0.25">
      <c r="A181" s="246"/>
      <c r="B181" s="85"/>
      <c r="C181" s="86" t="s">
        <v>27</v>
      </c>
      <c r="D181" s="81" t="s">
        <v>26</v>
      </c>
      <c r="E181" s="80">
        <v>510</v>
      </c>
      <c r="F181" s="78" t="s">
        <v>12</v>
      </c>
      <c r="G181" s="228"/>
      <c r="H181" s="79">
        <f t="shared" si="278"/>
        <v>0</v>
      </c>
      <c r="I181" s="79">
        <f t="shared" si="279"/>
        <v>3000000</v>
      </c>
      <c r="J181" s="78"/>
      <c r="K181" s="78"/>
      <c r="L181" s="78"/>
      <c r="M181" s="75">
        <f t="shared" si="280"/>
        <v>3000000</v>
      </c>
      <c r="N181" s="45"/>
      <c r="O181" s="75"/>
      <c r="P181" s="75"/>
      <c r="Q181" s="75"/>
      <c r="R181" s="75"/>
      <c r="S181" s="75">
        <v>3000000</v>
      </c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I181" s="25">
        <f t="shared" si="285"/>
        <v>0</v>
      </c>
      <c r="AJ181" s="75">
        <f t="shared" si="281"/>
        <v>0</v>
      </c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  <c r="AY181" s="75"/>
      <c r="AZ181" s="75"/>
      <c r="BA181" s="75"/>
      <c r="BB181" s="75"/>
      <c r="BC181" s="75"/>
      <c r="BD181" s="75"/>
      <c r="BE181" s="25">
        <f t="shared" si="286"/>
        <v>1</v>
      </c>
      <c r="BF181" s="75">
        <f t="shared" si="282"/>
        <v>3000000</v>
      </c>
      <c r="BG181" s="75">
        <f t="shared" si="287"/>
        <v>0</v>
      </c>
      <c r="BH181" s="75">
        <f t="shared" si="288"/>
        <v>0</v>
      </c>
      <c r="BI181" s="75"/>
      <c r="BJ181" s="75">
        <f t="shared" si="246"/>
        <v>0</v>
      </c>
      <c r="BK181" s="75">
        <f t="shared" si="289"/>
        <v>0</v>
      </c>
      <c r="BL181" s="75">
        <f t="shared" si="290"/>
        <v>3000000</v>
      </c>
      <c r="BM181" s="75">
        <f t="shared" si="291"/>
        <v>0</v>
      </c>
      <c r="BN181" s="75"/>
      <c r="BO181" s="75">
        <f t="shared" si="292"/>
        <v>0</v>
      </c>
      <c r="BP181" s="75">
        <f t="shared" si="293"/>
        <v>0</v>
      </c>
      <c r="BQ181" s="75">
        <f t="shared" si="294"/>
        <v>0</v>
      </c>
      <c r="BR181" s="75">
        <f t="shared" si="295"/>
        <v>0</v>
      </c>
      <c r="BS181" s="75">
        <f t="shared" si="296"/>
        <v>0</v>
      </c>
      <c r="BT181" s="75">
        <f t="shared" si="297"/>
        <v>0</v>
      </c>
      <c r="BU181" s="75">
        <f t="shared" si="298"/>
        <v>0</v>
      </c>
      <c r="BV181" s="75">
        <f t="shared" si="299"/>
        <v>0</v>
      </c>
      <c r="BW181" s="75">
        <f t="shared" si="300"/>
        <v>0</v>
      </c>
      <c r="BX181" s="75"/>
      <c r="BY181" s="75"/>
      <c r="BZ181" s="75">
        <f t="shared" si="318"/>
        <v>0</v>
      </c>
      <c r="CA181" s="25">
        <f t="shared" si="302"/>
        <v>0</v>
      </c>
      <c r="CB181" s="75">
        <f t="shared" si="283"/>
        <v>0</v>
      </c>
      <c r="CC181" s="75"/>
      <c r="CD181" s="75"/>
      <c r="CE181" s="75"/>
      <c r="CF181" s="75"/>
      <c r="CG181" s="75"/>
      <c r="CH181" s="75"/>
      <c r="CI181" s="75"/>
      <c r="CJ181" s="75"/>
      <c r="CK181" s="75"/>
      <c r="CL181" s="75"/>
      <c r="CM181" s="75"/>
      <c r="CN181" s="75"/>
      <c r="CO181" s="75"/>
      <c r="CP181" s="75"/>
      <c r="CQ181" s="75"/>
      <c r="CR181" s="75"/>
      <c r="CS181" s="75"/>
      <c r="CT181" s="75"/>
      <c r="CU181" s="75"/>
      <c r="CV181" s="75"/>
      <c r="CW181" s="25">
        <f t="shared" si="303"/>
        <v>1</v>
      </c>
      <c r="CX181" s="75">
        <f t="shared" si="284"/>
        <v>3000000</v>
      </c>
      <c r="CY181" s="75"/>
      <c r="CZ181" s="75"/>
      <c r="DA181" s="75"/>
      <c r="DB181" s="75">
        <f t="shared" si="247"/>
        <v>0</v>
      </c>
      <c r="DC181" s="75">
        <f t="shared" si="304"/>
        <v>0</v>
      </c>
      <c r="DD181" s="75">
        <f t="shared" si="305"/>
        <v>3000000</v>
      </c>
      <c r="DE181" s="75">
        <f t="shared" si="306"/>
        <v>0</v>
      </c>
      <c r="DF181" s="75"/>
      <c r="DG181" s="75">
        <f t="shared" si="307"/>
        <v>0</v>
      </c>
      <c r="DH181" s="75">
        <f t="shared" si="308"/>
        <v>0</v>
      </c>
      <c r="DI181" s="75"/>
      <c r="DJ181" s="75">
        <f t="shared" si="309"/>
        <v>0</v>
      </c>
      <c r="DK181" s="75">
        <f t="shared" si="310"/>
        <v>0</v>
      </c>
      <c r="DL181" s="75">
        <f t="shared" si="311"/>
        <v>0</v>
      </c>
      <c r="DM181" s="75">
        <f t="shared" si="312"/>
        <v>0</v>
      </c>
      <c r="DN181" s="75">
        <f t="shared" si="313"/>
        <v>0</v>
      </c>
      <c r="DO181" s="75">
        <f t="shared" si="314"/>
        <v>0</v>
      </c>
      <c r="DP181" s="75">
        <f t="shared" si="315"/>
        <v>0</v>
      </c>
      <c r="DQ181" s="75">
        <f t="shared" si="316"/>
        <v>0</v>
      </c>
      <c r="DR181" s="75">
        <f t="shared" si="317"/>
        <v>0</v>
      </c>
    </row>
    <row r="182" spans="1:122" ht="23.25" customHeight="1" x14ac:dyDescent="0.25">
      <c r="A182" s="246"/>
      <c r="B182" s="85"/>
      <c r="C182" s="86" t="s">
        <v>25</v>
      </c>
      <c r="D182" s="81" t="s">
        <v>24</v>
      </c>
      <c r="E182" s="80">
        <v>510</v>
      </c>
      <c r="F182" s="78" t="s">
        <v>12</v>
      </c>
      <c r="G182" s="229"/>
      <c r="H182" s="79">
        <f t="shared" si="278"/>
        <v>80144495</v>
      </c>
      <c r="I182" s="79">
        <f t="shared" si="279"/>
        <v>19855505</v>
      </c>
      <c r="J182" s="78"/>
      <c r="K182" s="78"/>
      <c r="L182" s="78"/>
      <c r="M182" s="75">
        <f t="shared" si="280"/>
        <v>100000000</v>
      </c>
      <c r="N182" s="4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>
        <v>100000000</v>
      </c>
      <c r="AC182" s="75"/>
      <c r="AD182" s="75"/>
      <c r="AE182" s="75"/>
      <c r="AF182" s="75"/>
      <c r="AG182" s="75"/>
      <c r="AI182" s="25">
        <f t="shared" si="285"/>
        <v>0.99939999999999996</v>
      </c>
      <c r="AJ182" s="75">
        <f t="shared" si="281"/>
        <v>99940000</v>
      </c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>
        <f>+'[1]AGOSTO 2015'!$G$2329</f>
        <v>99940000</v>
      </c>
      <c r="AZ182" s="75"/>
      <c r="BA182" s="75"/>
      <c r="BB182" s="75"/>
      <c r="BC182" s="75"/>
      <c r="BD182" s="75"/>
      <c r="BE182" s="25">
        <f t="shared" si="286"/>
        <v>6.0000000000004494E-4</v>
      </c>
      <c r="BF182" s="75">
        <f t="shared" si="282"/>
        <v>60000</v>
      </c>
      <c r="BG182" s="75">
        <f t="shared" si="287"/>
        <v>0</v>
      </c>
      <c r="BH182" s="75">
        <f t="shared" si="288"/>
        <v>0</v>
      </c>
      <c r="BI182" s="75"/>
      <c r="BJ182" s="75">
        <f t="shared" si="246"/>
        <v>0</v>
      </c>
      <c r="BK182" s="75">
        <f t="shared" si="289"/>
        <v>0</v>
      </c>
      <c r="BL182" s="75">
        <f t="shared" si="290"/>
        <v>0</v>
      </c>
      <c r="BM182" s="75">
        <f t="shared" si="291"/>
        <v>0</v>
      </c>
      <c r="BN182" s="75"/>
      <c r="BO182" s="75">
        <f t="shared" si="292"/>
        <v>0</v>
      </c>
      <c r="BP182" s="75">
        <f t="shared" si="293"/>
        <v>0</v>
      </c>
      <c r="BQ182" s="75">
        <f t="shared" si="294"/>
        <v>0</v>
      </c>
      <c r="BR182" s="75">
        <f t="shared" si="295"/>
        <v>0</v>
      </c>
      <c r="BS182" s="75">
        <f t="shared" si="296"/>
        <v>0</v>
      </c>
      <c r="BT182" s="75">
        <f t="shared" si="297"/>
        <v>0</v>
      </c>
      <c r="BU182" s="75">
        <f t="shared" si="298"/>
        <v>60000</v>
      </c>
      <c r="BV182" s="75">
        <f t="shared" si="299"/>
        <v>0</v>
      </c>
      <c r="BW182" s="75">
        <f t="shared" si="300"/>
        <v>0</v>
      </c>
      <c r="BX182" s="75"/>
      <c r="BY182" s="75"/>
      <c r="BZ182" s="75">
        <f t="shared" si="318"/>
        <v>0</v>
      </c>
      <c r="CA182" s="25">
        <f t="shared" si="302"/>
        <v>0.80144495000000004</v>
      </c>
      <c r="CB182" s="75">
        <f t="shared" si="283"/>
        <v>80144495</v>
      </c>
      <c r="CC182" s="75"/>
      <c r="CD182" s="75"/>
      <c r="CE182" s="75"/>
      <c r="CF182" s="75"/>
      <c r="CG182" s="75"/>
      <c r="CH182" s="75"/>
      <c r="CI182" s="75"/>
      <c r="CJ182" s="75"/>
      <c r="CK182" s="75"/>
      <c r="CL182" s="75"/>
      <c r="CM182" s="75"/>
      <c r="CN182" s="75"/>
      <c r="CO182" s="75"/>
      <c r="CP182" s="75"/>
      <c r="CQ182" s="75">
        <f>+'[1]AGOSTO 2015'!$H$2329</f>
        <v>80144495</v>
      </c>
      <c r="CR182" s="75"/>
      <c r="CS182" s="75"/>
      <c r="CT182" s="75"/>
      <c r="CU182" s="75"/>
      <c r="CV182" s="75"/>
      <c r="CW182" s="25">
        <f t="shared" si="303"/>
        <v>0.19855504999999996</v>
      </c>
      <c r="CX182" s="75">
        <f t="shared" si="284"/>
        <v>19855505</v>
      </c>
      <c r="CY182" s="75"/>
      <c r="CZ182" s="75"/>
      <c r="DA182" s="75"/>
      <c r="DB182" s="75">
        <f t="shared" si="247"/>
        <v>0</v>
      </c>
      <c r="DC182" s="75">
        <f t="shared" si="304"/>
        <v>0</v>
      </c>
      <c r="DD182" s="75">
        <f t="shared" si="305"/>
        <v>0</v>
      </c>
      <c r="DE182" s="75">
        <f t="shared" si="306"/>
        <v>0</v>
      </c>
      <c r="DF182" s="75"/>
      <c r="DG182" s="75">
        <f t="shared" si="307"/>
        <v>0</v>
      </c>
      <c r="DH182" s="75">
        <f t="shared" si="308"/>
        <v>0</v>
      </c>
      <c r="DI182" s="75"/>
      <c r="DJ182" s="75">
        <f t="shared" si="309"/>
        <v>0</v>
      </c>
      <c r="DK182" s="75">
        <f t="shared" si="310"/>
        <v>0</v>
      </c>
      <c r="DL182" s="75">
        <f t="shared" si="311"/>
        <v>0</v>
      </c>
      <c r="DM182" s="75">
        <f t="shared" si="312"/>
        <v>19855505</v>
      </c>
      <c r="DN182" s="75">
        <f t="shared" si="313"/>
        <v>0</v>
      </c>
      <c r="DO182" s="75">
        <f t="shared" si="314"/>
        <v>0</v>
      </c>
      <c r="DP182" s="75">
        <f t="shared" si="315"/>
        <v>0</v>
      </c>
      <c r="DQ182" s="75">
        <f t="shared" si="316"/>
        <v>0</v>
      </c>
      <c r="DR182" s="75">
        <f t="shared" si="317"/>
        <v>0</v>
      </c>
    </row>
    <row r="183" spans="1:122" ht="38.25" customHeight="1" x14ac:dyDescent="0.25">
      <c r="A183" s="246"/>
      <c r="B183" s="85" t="s">
        <v>23</v>
      </c>
      <c r="C183" s="86" t="s">
        <v>22</v>
      </c>
      <c r="D183" s="81" t="s">
        <v>21</v>
      </c>
      <c r="E183" s="80">
        <v>510</v>
      </c>
      <c r="F183" s="78" t="s">
        <v>12</v>
      </c>
      <c r="G183" s="78">
        <v>5000000</v>
      </c>
      <c r="H183" s="79">
        <f t="shared" si="278"/>
        <v>0</v>
      </c>
      <c r="I183" s="79">
        <f t="shared" si="279"/>
        <v>0</v>
      </c>
      <c r="J183" s="78"/>
      <c r="K183" s="78"/>
      <c r="L183" s="78"/>
      <c r="M183" s="75">
        <f t="shared" si="280"/>
        <v>0</v>
      </c>
      <c r="N183" s="45"/>
      <c r="O183" s="75"/>
      <c r="P183" s="75"/>
      <c r="Q183" s="75"/>
      <c r="R183" s="75"/>
      <c r="S183" s="75">
        <f>5000000-5000000</f>
        <v>0</v>
      </c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I183" s="25" t="e">
        <f t="shared" si="285"/>
        <v>#DIV/0!</v>
      </c>
      <c r="AJ183" s="75">
        <f t="shared" si="281"/>
        <v>0</v>
      </c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25" t="e">
        <f t="shared" si="286"/>
        <v>#DIV/0!</v>
      </c>
      <c r="BF183" s="75">
        <f t="shared" si="282"/>
        <v>0</v>
      </c>
      <c r="BG183" s="75">
        <f t="shared" si="287"/>
        <v>0</v>
      </c>
      <c r="BH183" s="75">
        <f t="shared" si="288"/>
        <v>0</v>
      </c>
      <c r="BI183" s="75"/>
      <c r="BJ183" s="75">
        <f t="shared" si="246"/>
        <v>0</v>
      </c>
      <c r="BK183" s="75">
        <f t="shared" si="289"/>
        <v>0</v>
      </c>
      <c r="BL183" s="75">
        <f t="shared" si="290"/>
        <v>0</v>
      </c>
      <c r="BM183" s="75">
        <f t="shared" si="291"/>
        <v>0</v>
      </c>
      <c r="BN183" s="75"/>
      <c r="BO183" s="75">
        <f t="shared" si="292"/>
        <v>0</v>
      </c>
      <c r="BP183" s="75">
        <f t="shared" si="293"/>
        <v>0</v>
      </c>
      <c r="BQ183" s="75">
        <f t="shared" si="294"/>
        <v>0</v>
      </c>
      <c r="BR183" s="75">
        <f t="shared" si="295"/>
        <v>0</v>
      </c>
      <c r="BS183" s="75">
        <f t="shared" si="296"/>
        <v>0</v>
      </c>
      <c r="BT183" s="75">
        <f t="shared" si="297"/>
        <v>0</v>
      </c>
      <c r="BU183" s="75">
        <f t="shared" si="298"/>
        <v>0</v>
      </c>
      <c r="BV183" s="75">
        <f t="shared" si="299"/>
        <v>0</v>
      </c>
      <c r="BW183" s="75">
        <f t="shared" si="300"/>
        <v>0</v>
      </c>
      <c r="BX183" s="75"/>
      <c r="BY183" s="75"/>
      <c r="BZ183" s="75">
        <f t="shared" si="318"/>
        <v>0</v>
      </c>
      <c r="CA183" s="25" t="e">
        <f t="shared" si="302"/>
        <v>#DIV/0!</v>
      </c>
      <c r="CB183" s="75">
        <f t="shared" si="283"/>
        <v>0</v>
      </c>
      <c r="CC183" s="75"/>
      <c r="CD183" s="75"/>
      <c r="CE183" s="75"/>
      <c r="CF183" s="75"/>
      <c r="CG183" s="75"/>
      <c r="CH183" s="75"/>
      <c r="CI183" s="75"/>
      <c r="CJ183" s="75"/>
      <c r="CK183" s="75"/>
      <c r="CL183" s="75"/>
      <c r="CM183" s="75"/>
      <c r="CN183" s="75"/>
      <c r="CO183" s="75"/>
      <c r="CP183" s="75"/>
      <c r="CQ183" s="75"/>
      <c r="CR183" s="75"/>
      <c r="CS183" s="75"/>
      <c r="CT183" s="75"/>
      <c r="CU183" s="75"/>
      <c r="CV183" s="75"/>
      <c r="CW183" s="25" t="e">
        <f t="shared" si="303"/>
        <v>#DIV/0!</v>
      </c>
      <c r="CX183" s="75">
        <f t="shared" si="284"/>
        <v>0</v>
      </c>
      <c r="CY183" s="75"/>
      <c r="CZ183" s="75"/>
      <c r="DA183" s="75"/>
      <c r="DB183" s="75">
        <f t="shared" si="247"/>
        <v>0</v>
      </c>
      <c r="DC183" s="75">
        <f t="shared" si="304"/>
        <v>0</v>
      </c>
      <c r="DD183" s="75">
        <f t="shared" si="305"/>
        <v>0</v>
      </c>
      <c r="DE183" s="75">
        <f t="shared" si="306"/>
        <v>0</v>
      </c>
      <c r="DF183" s="75"/>
      <c r="DG183" s="75">
        <f t="shared" si="307"/>
        <v>0</v>
      </c>
      <c r="DH183" s="75">
        <f t="shared" si="308"/>
        <v>0</v>
      </c>
      <c r="DI183" s="75"/>
      <c r="DJ183" s="75">
        <f t="shared" si="309"/>
        <v>0</v>
      </c>
      <c r="DK183" s="75">
        <f t="shared" si="310"/>
        <v>0</v>
      </c>
      <c r="DL183" s="75">
        <f t="shared" si="311"/>
        <v>0</v>
      </c>
      <c r="DM183" s="75">
        <f t="shared" si="312"/>
        <v>0</v>
      </c>
      <c r="DN183" s="75">
        <f t="shared" si="313"/>
        <v>0</v>
      </c>
      <c r="DO183" s="75">
        <f t="shared" si="314"/>
        <v>0</v>
      </c>
      <c r="DP183" s="75">
        <f t="shared" si="315"/>
        <v>0</v>
      </c>
      <c r="DQ183" s="75">
        <f t="shared" si="316"/>
        <v>0</v>
      </c>
      <c r="DR183" s="75">
        <f t="shared" si="317"/>
        <v>0</v>
      </c>
    </row>
    <row r="184" spans="1:122" ht="36.75" customHeight="1" x14ac:dyDescent="0.25">
      <c r="A184" s="246"/>
      <c r="B184" s="85" t="s">
        <v>20</v>
      </c>
      <c r="C184" s="82" t="s">
        <v>19</v>
      </c>
      <c r="D184" s="81" t="s">
        <v>18</v>
      </c>
      <c r="E184" s="80">
        <v>310</v>
      </c>
      <c r="F184" s="78" t="s">
        <v>12</v>
      </c>
      <c r="G184" s="227">
        <v>287000000</v>
      </c>
      <c r="H184" s="79">
        <f t="shared" si="278"/>
        <v>158967073</v>
      </c>
      <c r="I184" s="79">
        <f t="shared" si="279"/>
        <v>114377348</v>
      </c>
      <c r="J184" s="78"/>
      <c r="K184" s="78"/>
      <c r="L184" s="78"/>
      <c r="M184" s="75">
        <f t="shared" si="280"/>
        <v>273344421</v>
      </c>
      <c r="N184" s="4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>
        <f>273344421</f>
        <v>273344421</v>
      </c>
      <c r="AD184" s="75"/>
      <c r="AE184" s="75"/>
      <c r="AF184" s="75"/>
      <c r="AG184" s="75"/>
      <c r="AI184" s="25">
        <f t="shared" si="285"/>
        <v>1</v>
      </c>
      <c r="AJ184" s="75">
        <f t="shared" si="281"/>
        <v>273344421</v>
      </c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>
        <f>+'[5]FEBRERO 2015'!$X$334</f>
        <v>273344421</v>
      </c>
      <c r="BA184" s="75"/>
      <c r="BB184" s="75"/>
      <c r="BC184" s="75"/>
      <c r="BD184" s="75"/>
      <c r="BE184" s="25">
        <f t="shared" si="286"/>
        <v>0</v>
      </c>
      <c r="BF184" s="75">
        <f t="shared" si="282"/>
        <v>0</v>
      </c>
      <c r="BG184" s="75">
        <f t="shared" si="287"/>
        <v>0</v>
      </c>
      <c r="BH184" s="75">
        <f t="shared" si="288"/>
        <v>0</v>
      </c>
      <c r="BI184" s="75"/>
      <c r="BJ184" s="75">
        <f t="shared" si="246"/>
        <v>0</v>
      </c>
      <c r="BK184" s="75">
        <f t="shared" si="289"/>
        <v>0</v>
      </c>
      <c r="BL184" s="75">
        <f t="shared" si="290"/>
        <v>0</v>
      </c>
      <c r="BM184" s="75">
        <f t="shared" si="291"/>
        <v>0</v>
      </c>
      <c r="BN184" s="75"/>
      <c r="BO184" s="75">
        <f t="shared" si="292"/>
        <v>0</v>
      </c>
      <c r="BP184" s="75">
        <f t="shared" si="293"/>
        <v>0</v>
      </c>
      <c r="BQ184" s="75">
        <f t="shared" si="294"/>
        <v>0</v>
      </c>
      <c r="BR184" s="75">
        <f t="shared" si="295"/>
        <v>0</v>
      </c>
      <c r="BS184" s="75">
        <f t="shared" si="296"/>
        <v>0</v>
      </c>
      <c r="BT184" s="75">
        <f t="shared" si="297"/>
        <v>0</v>
      </c>
      <c r="BU184" s="75">
        <f t="shared" si="298"/>
        <v>0</v>
      </c>
      <c r="BV184" s="75">
        <f t="shared" si="299"/>
        <v>0</v>
      </c>
      <c r="BW184" s="75">
        <f t="shared" si="300"/>
        <v>0</v>
      </c>
      <c r="BX184" s="75"/>
      <c r="BY184" s="75"/>
      <c r="BZ184" s="75">
        <f t="shared" si="318"/>
        <v>0</v>
      </c>
      <c r="CA184" s="25">
        <f t="shared" si="302"/>
        <v>0.58156326153808713</v>
      </c>
      <c r="CB184" s="75">
        <f t="shared" si="283"/>
        <v>158967073</v>
      </c>
      <c r="CC184" s="75"/>
      <c r="CD184" s="75"/>
      <c r="CE184" s="75"/>
      <c r="CF184" s="75"/>
      <c r="CG184" s="75"/>
      <c r="CH184" s="75"/>
      <c r="CI184" s="75"/>
      <c r="CJ184" s="75"/>
      <c r="CK184" s="75"/>
      <c r="CL184" s="75"/>
      <c r="CM184" s="75"/>
      <c r="CN184" s="75"/>
      <c r="CO184" s="75"/>
      <c r="CP184" s="75"/>
      <c r="CQ184" s="75"/>
      <c r="CR184" s="75">
        <f>+'[1]AGOSTO 2015'!$H$701</f>
        <v>158967073</v>
      </c>
      <c r="CS184" s="75"/>
      <c r="CT184" s="75"/>
      <c r="CU184" s="75"/>
      <c r="CV184" s="75"/>
      <c r="CW184" s="25">
        <f t="shared" si="303"/>
        <v>0.41843673846191287</v>
      </c>
      <c r="CX184" s="75">
        <f t="shared" si="284"/>
        <v>114377348</v>
      </c>
      <c r="CY184" s="75"/>
      <c r="CZ184" s="75"/>
      <c r="DA184" s="75"/>
      <c r="DB184" s="75">
        <f t="shared" si="247"/>
        <v>0</v>
      </c>
      <c r="DC184" s="75">
        <f t="shared" si="304"/>
        <v>0</v>
      </c>
      <c r="DD184" s="75">
        <f t="shared" si="305"/>
        <v>0</v>
      </c>
      <c r="DE184" s="75">
        <f t="shared" si="306"/>
        <v>0</v>
      </c>
      <c r="DF184" s="75"/>
      <c r="DG184" s="75">
        <f t="shared" si="307"/>
        <v>0</v>
      </c>
      <c r="DH184" s="75">
        <f t="shared" si="308"/>
        <v>0</v>
      </c>
      <c r="DI184" s="75"/>
      <c r="DJ184" s="75">
        <f t="shared" si="309"/>
        <v>0</v>
      </c>
      <c r="DK184" s="75">
        <f t="shared" si="310"/>
        <v>0</v>
      </c>
      <c r="DL184" s="75">
        <f t="shared" si="311"/>
        <v>0</v>
      </c>
      <c r="DM184" s="75">
        <f t="shared" si="312"/>
        <v>0</v>
      </c>
      <c r="DN184" s="75">
        <f t="shared" si="313"/>
        <v>114377348</v>
      </c>
      <c r="DO184" s="75">
        <f t="shared" si="314"/>
        <v>0</v>
      </c>
      <c r="DP184" s="75">
        <f t="shared" si="315"/>
        <v>0</v>
      </c>
      <c r="DQ184" s="75">
        <f t="shared" si="316"/>
        <v>0</v>
      </c>
      <c r="DR184" s="75">
        <f t="shared" si="317"/>
        <v>0</v>
      </c>
    </row>
    <row r="185" spans="1:122" ht="45" customHeight="1" x14ac:dyDescent="0.25">
      <c r="A185" s="246"/>
      <c r="B185" s="83"/>
      <c r="C185" s="82" t="s">
        <v>17</v>
      </c>
      <c r="D185" s="81" t="s">
        <v>16</v>
      </c>
      <c r="E185" s="84">
        <v>310</v>
      </c>
      <c r="F185" s="78" t="s">
        <v>15</v>
      </c>
      <c r="G185" s="229"/>
      <c r="H185" s="79">
        <f t="shared" si="278"/>
        <v>8586672</v>
      </c>
      <c r="I185" s="79">
        <f t="shared" si="279"/>
        <v>21413328</v>
      </c>
      <c r="J185" s="78"/>
      <c r="K185" s="78"/>
      <c r="L185" s="78"/>
      <c r="M185" s="75">
        <f t="shared" si="280"/>
        <v>30000000</v>
      </c>
      <c r="N185" s="77"/>
      <c r="O185" s="77"/>
      <c r="P185" s="77"/>
      <c r="Q185" s="77"/>
      <c r="R185" s="77"/>
      <c r="S185" s="77"/>
      <c r="T185" s="77"/>
      <c r="U185" s="77"/>
      <c r="V185" s="77"/>
      <c r="W185" s="76"/>
      <c r="X185" s="76"/>
      <c r="Y185" s="76"/>
      <c r="Z185" s="76"/>
      <c r="AA185" s="76"/>
      <c r="AB185" s="77"/>
      <c r="AC185" s="77"/>
      <c r="AD185" s="77"/>
      <c r="AE185" s="77"/>
      <c r="AF185" s="77"/>
      <c r="AG185" s="75">
        <f>10000000+4000000+16000000</f>
        <v>30000000</v>
      </c>
      <c r="AI185" s="25">
        <f t="shared" si="285"/>
        <v>0.66666666666666663</v>
      </c>
      <c r="AJ185" s="75">
        <f t="shared" si="281"/>
        <v>20000000</v>
      </c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>
        <f>+'[2]JULIO 2015'!$G$716</f>
        <v>20000000</v>
      </c>
      <c r="BE185" s="25">
        <f t="shared" si="286"/>
        <v>0.33333333333333337</v>
      </c>
      <c r="BF185" s="75">
        <f t="shared" si="282"/>
        <v>10000000</v>
      </c>
      <c r="BG185" s="75">
        <f t="shared" si="287"/>
        <v>0</v>
      </c>
      <c r="BH185" s="75">
        <f t="shared" si="288"/>
        <v>0</v>
      </c>
      <c r="BI185" s="75"/>
      <c r="BJ185" s="75">
        <f t="shared" si="246"/>
        <v>0</v>
      </c>
      <c r="BK185" s="75">
        <f t="shared" si="289"/>
        <v>0</v>
      </c>
      <c r="BL185" s="75">
        <f t="shared" si="290"/>
        <v>0</v>
      </c>
      <c r="BM185" s="75">
        <f t="shared" si="291"/>
        <v>0</v>
      </c>
      <c r="BN185" s="75"/>
      <c r="BO185" s="75">
        <f t="shared" si="292"/>
        <v>0</v>
      </c>
      <c r="BP185" s="75">
        <f t="shared" si="293"/>
        <v>0</v>
      </c>
      <c r="BQ185" s="75">
        <f t="shared" si="294"/>
        <v>0</v>
      </c>
      <c r="BR185" s="75">
        <f t="shared" si="295"/>
        <v>0</v>
      </c>
      <c r="BS185" s="75">
        <f t="shared" si="296"/>
        <v>0</v>
      </c>
      <c r="BT185" s="75">
        <f t="shared" si="297"/>
        <v>0</v>
      </c>
      <c r="BU185" s="75">
        <f t="shared" si="298"/>
        <v>0</v>
      </c>
      <c r="BV185" s="75">
        <f t="shared" si="299"/>
        <v>0</v>
      </c>
      <c r="BW185" s="75">
        <f t="shared" si="300"/>
        <v>0</v>
      </c>
      <c r="BX185" s="75"/>
      <c r="BY185" s="75"/>
      <c r="BZ185" s="75">
        <f t="shared" si="318"/>
        <v>10000000</v>
      </c>
      <c r="CA185" s="25">
        <f t="shared" si="302"/>
        <v>0.28622239999999999</v>
      </c>
      <c r="CB185" s="75">
        <f t="shared" si="283"/>
        <v>8586672</v>
      </c>
      <c r="CC185" s="75"/>
      <c r="CD185" s="75"/>
      <c r="CE185" s="75"/>
      <c r="CF185" s="75"/>
      <c r="CG185" s="75"/>
      <c r="CH185" s="75"/>
      <c r="CI185" s="75"/>
      <c r="CJ185" s="75"/>
      <c r="CK185" s="75"/>
      <c r="CL185" s="75"/>
      <c r="CM185" s="75"/>
      <c r="CN185" s="75"/>
      <c r="CO185" s="75"/>
      <c r="CP185" s="75"/>
      <c r="CQ185" s="75"/>
      <c r="CR185" s="75"/>
      <c r="CS185" s="75"/>
      <c r="CT185" s="75"/>
      <c r="CU185" s="75"/>
      <c r="CV185" s="75">
        <f>+'[1]AGOSTO 2015'!$H$805</f>
        <v>8586672</v>
      </c>
      <c r="CW185" s="25">
        <f t="shared" si="303"/>
        <v>0.71377760000000001</v>
      </c>
      <c r="CX185" s="75">
        <f t="shared" si="284"/>
        <v>21413328</v>
      </c>
      <c r="CY185" s="75"/>
      <c r="CZ185" s="75"/>
      <c r="DA185" s="75"/>
      <c r="DB185" s="75">
        <f t="shared" si="247"/>
        <v>0</v>
      </c>
      <c r="DC185" s="75">
        <f t="shared" si="304"/>
        <v>0</v>
      </c>
      <c r="DD185" s="75">
        <f t="shared" si="305"/>
        <v>0</v>
      </c>
      <c r="DE185" s="75">
        <f t="shared" si="306"/>
        <v>0</v>
      </c>
      <c r="DF185" s="75"/>
      <c r="DG185" s="75">
        <f t="shared" si="307"/>
        <v>0</v>
      </c>
      <c r="DH185" s="75">
        <f t="shared" si="308"/>
        <v>0</v>
      </c>
      <c r="DI185" s="75"/>
      <c r="DJ185" s="75">
        <f t="shared" si="309"/>
        <v>0</v>
      </c>
      <c r="DK185" s="75">
        <f t="shared" si="310"/>
        <v>0</v>
      </c>
      <c r="DL185" s="75">
        <f t="shared" si="311"/>
        <v>0</v>
      </c>
      <c r="DM185" s="75">
        <f t="shared" si="312"/>
        <v>0</v>
      </c>
      <c r="DN185" s="75">
        <f t="shared" si="313"/>
        <v>0</v>
      </c>
      <c r="DO185" s="75">
        <f t="shared" si="314"/>
        <v>0</v>
      </c>
      <c r="DP185" s="75">
        <f t="shared" si="315"/>
        <v>0</v>
      </c>
      <c r="DQ185" s="75">
        <f t="shared" si="316"/>
        <v>0</v>
      </c>
      <c r="DR185" s="75">
        <f t="shared" si="317"/>
        <v>21413328</v>
      </c>
    </row>
    <row r="186" spans="1:122" ht="24" customHeight="1" x14ac:dyDescent="0.25">
      <c r="A186" s="246"/>
      <c r="B186" s="83"/>
      <c r="C186" s="82" t="s">
        <v>14</v>
      </c>
      <c r="D186" s="81" t="s">
        <v>13</v>
      </c>
      <c r="E186" s="80">
        <v>111</v>
      </c>
      <c r="F186" s="78" t="s">
        <v>12</v>
      </c>
      <c r="G186" s="78"/>
      <c r="H186" s="79">
        <f t="shared" si="278"/>
        <v>0</v>
      </c>
      <c r="I186" s="79">
        <f t="shared" ref="I186" si="319">M186-H186</f>
        <v>0</v>
      </c>
      <c r="J186" s="78"/>
      <c r="K186" s="78"/>
      <c r="L186" s="78"/>
      <c r="M186" s="75">
        <f>SUM(O186:AG186)</f>
        <v>0</v>
      </c>
      <c r="N186" s="77"/>
      <c r="O186" s="77"/>
      <c r="P186" s="77"/>
      <c r="Q186" s="77">
        <f>417803755-417803755</f>
        <v>0</v>
      </c>
      <c r="R186" s="77"/>
      <c r="S186" s="77"/>
      <c r="T186" s="77"/>
      <c r="U186" s="77"/>
      <c r="V186" s="77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5"/>
      <c r="AI186" s="25" t="e">
        <f t="shared" si="285"/>
        <v>#DIV/0!</v>
      </c>
      <c r="AJ186" s="75">
        <f t="shared" ref="AJ186" si="320">SUM(AK186:BD186)</f>
        <v>0</v>
      </c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25" t="e">
        <f t="shared" si="286"/>
        <v>#DIV/0!</v>
      </c>
      <c r="BF186" s="75">
        <f t="shared" ref="BF186" si="321">SUM(BG186:BZ186)</f>
        <v>0</v>
      </c>
      <c r="BG186" s="75">
        <f t="shared" si="287"/>
        <v>0</v>
      </c>
      <c r="BH186" s="75">
        <f t="shared" si="288"/>
        <v>0</v>
      </c>
      <c r="BI186" s="75"/>
      <c r="BJ186" s="75">
        <f t="shared" si="246"/>
        <v>0</v>
      </c>
      <c r="BK186" s="75">
        <f t="shared" si="289"/>
        <v>0</v>
      </c>
      <c r="BL186" s="75">
        <f t="shared" si="290"/>
        <v>0</v>
      </c>
      <c r="BM186" s="75">
        <f t="shared" si="291"/>
        <v>0</v>
      </c>
      <c r="BN186" s="75"/>
      <c r="BO186" s="75">
        <f t="shared" si="292"/>
        <v>0</v>
      </c>
      <c r="BP186" s="75">
        <f t="shared" si="293"/>
        <v>0</v>
      </c>
      <c r="BQ186" s="75">
        <f t="shared" si="294"/>
        <v>0</v>
      </c>
      <c r="BR186" s="75">
        <f t="shared" si="295"/>
        <v>0</v>
      </c>
      <c r="BS186" s="75">
        <f t="shared" si="296"/>
        <v>0</v>
      </c>
      <c r="BT186" s="75">
        <f t="shared" si="297"/>
        <v>0</v>
      </c>
      <c r="BU186" s="75">
        <f t="shared" si="298"/>
        <v>0</v>
      </c>
      <c r="BV186" s="75">
        <f t="shared" si="299"/>
        <v>0</v>
      </c>
      <c r="BW186" s="75">
        <f t="shared" si="300"/>
        <v>0</v>
      </c>
      <c r="BX186" s="75"/>
      <c r="BY186" s="75"/>
      <c r="BZ186" s="75">
        <f t="shared" si="318"/>
        <v>0</v>
      </c>
      <c r="CA186" s="25" t="e">
        <f t="shared" si="302"/>
        <v>#DIV/0!</v>
      </c>
      <c r="CB186" s="75">
        <f t="shared" ref="CB186" si="322">SUM(CC186:CV186)</f>
        <v>0</v>
      </c>
      <c r="CC186" s="75"/>
      <c r="CD186" s="75"/>
      <c r="CE186" s="75"/>
      <c r="CF186" s="75"/>
      <c r="CG186" s="75"/>
      <c r="CH186" s="75"/>
      <c r="CI186" s="75"/>
      <c r="CJ186" s="75"/>
      <c r="CK186" s="75"/>
      <c r="CL186" s="75"/>
      <c r="CM186" s="75"/>
      <c r="CN186" s="75"/>
      <c r="CO186" s="75"/>
      <c r="CP186" s="75"/>
      <c r="CQ186" s="75"/>
      <c r="CR186" s="75"/>
      <c r="CS186" s="75"/>
      <c r="CT186" s="75"/>
      <c r="CU186" s="75"/>
      <c r="CV186" s="75"/>
      <c r="CW186" s="25" t="e">
        <f t="shared" si="303"/>
        <v>#DIV/0!</v>
      </c>
      <c r="CX186" s="75">
        <f t="shared" ref="CX186" si="323">SUM(CY186:DR186)</f>
        <v>0</v>
      </c>
      <c r="CY186" s="75"/>
      <c r="CZ186" s="75"/>
      <c r="DA186" s="75"/>
      <c r="DB186" s="75">
        <f t="shared" si="247"/>
        <v>0</v>
      </c>
      <c r="DC186" s="75">
        <f t="shared" si="304"/>
        <v>0</v>
      </c>
      <c r="DD186" s="75">
        <f t="shared" si="305"/>
        <v>0</v>
      </c>
      <c r="DE186" s="75">
        <f t="shared" si="306"/>
        <v>0</v>
      </c>
      <c r="DF186" s="75"/>
      <c r="DG186" s="75">
        <f t="shared" si="307"/>
        <v>0</v>
      </c>
      <c r="DH186" s="75">
        <f t="shared" si="308"/>
        <v>0</v>
      </c>
      <c r="DI186" s="75"/>
      <c r="DJ186" s="75">
        <f t="shared" si="309"/>
        <v>0</v>
      </c>
      <c r="DK186" s="75">
        <f t="shared" si="310"/>
        <v>0</v>
      </c>
      <c r="DL186" s="75">
        <f t="shared" si="311"/>
        <v>0</v>
      </c>
      <c r="DM186" s="75">
        <f t="shared" si="312"/>
        <v>0</v>
      </c>
      <c r="DN186" s="75">
        <f t="shared" si="313"/>
        <v>0</v>
      </c>
      <c r="DO186" s="75">
        <f t="shared" si="314"/>
        <v>0</v>
      </c>
      <c r="DP186" s="75">
        <f t="shared" si="315"/>
        <v>0</v>
      </c>
      <c r="DQ186" s="75">
        <f t="shared" si="316"/>
        <v>0</v>
      </c>
      <c r="DR186" s="75">
        <f t="shared" si="317"/>
        <v>0</v>
      </c>
    </row>
    <row r="187" spans="1:122" s="68" customFormat="1" ht="25.5" customHeight="1" thickBot="1" x14ac:dyDescent="0.3">
      <c r="A187" s="74"/>
      <c r="B187" s="247" t="s">
        <v>11</v>
      </c>
      <c r="C187" s="248"/>
      <c r="D187" s="249"/>
      <c r="E187" s="73"/>
      <c r="F187" s="71"/>
      <c r="G187" s="72">
        <f>SUM(G122:G186)</f>
        <v>20835000000</v>
      </c>
      <c r="H187" s="72">
        <f>SUM(H122:H186)</f>
        <v>4183375247</v>
      </c>
      <c r="I187" s="72">
        <f>SUM(I122:I186)</f>
        <v>6977596856</v>
      </c>
      <c r="J187" s="71"/>
      <c r="K187" s="71"/>
      <c r="L187" s="71"/>
      <c r="M187" s="69">
        <f t="shared" ref="M187:AG187" si="324">SUM(M122:M186)</f>
        <v>11160972103</v>
      </c>
      <c r="N187" s="69">
        <f t="shared" si="324"/>
        <v>0</v>
      </c>
      <c r="O187" s="69">
        <f t="shared" si="324"/>
        <v>0</v>
      </c>
      <c r="P187" s="69">
        <f t="shared" si="324"/>
        <v>0</v>
      </c>
      <c r="Q187" s="69">
        <f t="shared" si="324"/>
        <v>9036421581</v>
      </c>
      <c r="R187" s="69">
        <f t="shared" si="324"/>
        <v>20011334</v>
      </c>
      <c r="S187" s="69">
        <f t="shared" si="324"/>
        <v>625000000</v>
      </c>
      <c r="T187" s="69">
        <f t="shared" si="324"/>
        <v>0</v>
      </c>
      <c r="U187" s="69">
        <f t="shared" si="324"/>
        <v>0</v>
      </c>
      <c r="V187" s="69">
        <f t="shared" si="324"/>
        <v>0</v>
      </c>
      <c r="W187" s="69">
        <f t="shared" si="324"/>
        <v>1940856</v>
      </c>
      <c r="X187" s="69">
        <f t="shared" si="324"/>
        <v>3438802</v>
      </c>
      <c r="Y187" s="69">
        <f t="shared" si="324"/>
        <v>318664514</v>
      </c>
      <c r="Z187" s="69">
        <f t="shared" si="324"/>
        <v>0</v>
      </c>
      <c r="AA187" s="69">
        <f t="shared" si="324"/>
        <v>0</v>
      </c>
      <c r="AB187" s="69">
        <f t="shared" si="324"/>
        <v>214719551</v>
      </c>
      <c r="AC187" s="69">
        <f t="shared" si="324"/>
        <v>397080402</v>
      </c>
      <c r="AD187" s="69">
        <f t="shared" si="324"/>
        <v>0</v>
      </c>
      <c r="AE187" s="69">
        <f t="shared" si="324"/>
        <v>0</v>
      </c>
      <c r="AF187" s="69">
        <f t="shared" si="324"/>
        <v>92524043</v>
      </c>
      <c r="AG187" s="69">
        <f t="shared" si="324"/>
        <v>451171020</v>
      </c>
      <c r="AI187" s="70">
        <f t="shared" si="285"/>
        <v>0.48285421505098441</v>
      </c>
      <c r="AJ187" s="69">
        <f>SUM(AJ122:AJ186)</f>
        <v>5389122424</v>
      </c>
      <c r="AK187" s="69">
        <f>SUM(AK122:AK186)</f>
        <v>0</v>
      </c>
      <c r="AL187" s="69">
        <f>SUM(AL122:AL186)</f>
        <v>0</v>
      </c>
      <c r="AM187" s="69"/>
      <c r="AN187" s="69">
        <f t="shared" ref="AN187:BD187" si="325">SUM(AN122:AN186)</f>
        <v>4084443156</v>
      </c>
      <c r="AO187" s="69">
        <f t="shared" si="325"/>
        <v>17503290</v>
      </c>
      <c r="AP187" s="69">
        <f t="shared" si="325"/>
        <v>476166457</v>
      </c>
      <c r="AQ187" s="69">
        <f t="shared" si="325"/>
        <v>0</v>
      </c>
      <c r="AR187" s="69">
        <f t="shared" si="325"/>
        <v>0</v>
      </c>
      <c r="AS187" s="69">
        <f t="shared" si="325"/>
        <v>0</v>
      </c>
      <c r="AT187" s="69">
        <f t="shared" si="325"/>
        <v>0</v>
      </c>
      <c r="AU187" s="69">
        <f t="shared" si="325"/>
        <v>0</v>
      </c>
      <c r="AV187" s="69">
        <f t="shared" si="325"/>
        <v>40655038</v>
      </c>
      <c r="AW187" s="69">
        <f t="shared" si="325"/>
        <v>0</v>
      </c>
      <c r="AX187" s="69">
        <f t="shared" si="325"/>
        <v>0</v>
      </c>
      <c r="AY187" s="69">
        <f t="shared" si="325"/>
        <v>99940000</v>
      </c>
      <c r="AZ187" s="69">
        <f t="shared" si="325"/>
        <v>306078593</v>
      </c>
      <c r="BA187" s="69">
        <f t="shared" si="325"/>
        <v>0</v>
      </c>
      <c r="BB187" s="69">
        <f t="shared" si="325"/>
        <v>0</v>
      </c>
      <c r="BC187" s="69">
        <f t="shared" si="325"/>
        <v>92524043</v>
      </c>
      <c r="BD187" s="69">
        <f t="shared" si="325"/>
        <v>271811847</v>
      </c>
      <c r="BE187" s="70">
        <f t="shared" si="286"/>
        <v>0.51714578494901553</v>
      </c>
      <c r="BF187" s="69">
        <f>SUM(BF122:BF186)</f>
        <v>5771849679</v>
      </c>
      <c r="BG187" s="69">
        <f>SUM(BG122:BG186)</f>
        <v>0</v>
      </c>
      <c r="BH187" s="69">
        <f>SUM(BH122:BH186)</f>
        <v>0</v>
      </c>
      <c r="BI187" s="69"/>
      <c r="BJ187" s="69">
        <f t="shared" ref="BJ187:BZ187" si="326">SUM(BJ122:BJ186)</f>
        <v>4951978425</v>
      </c>
      <c r="BK187" s="69">
        <f t="shared" si="326"/>
        <v>2508044</v>
      </c>
      <c r="BL187" s="69">
        <f t="shared" si="326"/>
        <v>148833543</v>
      </c>
      <c r="BM187" s="69">
        <f t="shared" si="326"/>
        <v>0</v>
      </c>
      <c r="BN187" s="69">
        <f t="shared" si="326"/>
        <v>0</v>
      </c>
      <c r="BO187" s="69">
        <f t="shared" si="326"/>
        <v>0</v>
      </c>
      <c r="BP187" s="69">
        <f t="shared" si="326"/>
        <v>1940856</v>
      </c>
      <c r="BQ187" s="69">
        <f t="shared" si="326"/>
        <v>3438802</v>
      </c>
      <c r="BR187" s="69">
        <f t="shared" si="326"/>
        <v>278009476</v>
      </c>
      <c r="BS187" s="69">
        <f t="shared" si="326"/>
        <v>0</v>
      </c>
      <c r="BT187" s="69">
        <f t="shared" si="326"/>
        <v>0</v>
      </c>
      <c r="BU187" s="69">
        <f t="shared" si="326"/>
        <v>114779551</v>
      </c>
      <c r="BV187" s="69">
        <f t="shared" si="326"/>
        <v>91001809</v>
      </c>
      <c r="BW187" s="69">
        <f t="shared" si="326"/>
        <v>0</v>
      </c>
      <c r="BX187" s="69">
        <f t="shared" si="326"/>
        <v>0</v>
      </c>
      <c r="BY187" s="69">
        <f t="shared" si="326"/>
        <v>0</v>
      </c>
      <c r="BZ187" s="69">
        <f t="shared" si="326"/>
        <v>179359173</v>
      </c>
      <c r="CA187" s="70">
        <f t="shared" si="302"/>
        <v>0.37482176358773756</v>
      </c>
      <c r="CB187" s="69">
        <f>SUM(CB122:CB186)</f>
        <v>4183375247</v>
      </c>
      <c r="CC187" s="69">
        <f>SUM(CC122:CC186)</f>
        <v>0</v>
      </c>
      <c r="CD187" s="69">
        <f>SUM(CD122:CD186)</f>
        <v>0</v>
      </c>
      <c r="CE187" s="69"/>
      <c r="CF187" s="69">
        <f t="shared" ref="CF187:CV187" si="327">SUM(CF122:CF186)</f>
        <v>3332132850</v>
      </c>
      <c r="CG187" s="69">
        <f t="shared" si="327"/>
        <v>12550540</v>
      </c>
      <c r="CH187" s="69">
        <f t="shared" si="327"/>
        <v>457897782</v>
      </c>
      <c r="CI187" s="69">
        <f t="shared" si="327"/>
        <v>0</v>
      </c>
      <c r="CJ187" s="69">
        <f t="shared" si="327"/>
        <v>0</v>
      </c>
      <c r="CK187" s="69">
        <f t="shared" si="327"/>
        <v>0</v>
      </c>
      <c r="CL187" s="69">
        <f t="shared" si="327"/>
        <v>0</v>
      </c>
      <c r="CM187" s="69">
        <f t="shared" si="327"/>
        <v>0</v>
      </c>
      <c r="CN187" s="69">
        <f t="shared" si="327"/>
        <v>40655038</v>
      </c>
      <c r="CO187" s="69">
        <f t="shared" si="327"/>
        <v>0</v>
      </c>
      <c r="CP187" s="69">
        <f t="shared" si="327"/>
        <v>0</v>
      </c>
      <c r="CQ187" s="69">
        <f t="shared" si="327"/>
        <v>80144495</v>
      </c>
      <c r="CR187" s="69">
        <f t="shared" si="327"/>
        <v>166943542</v>
      </c>
      <c r="CS187" s="69">
        <f t="shared" si="327"/>
        <v>0</v>
      </c>
      <c r="CT187" s="69">
        <f t="shared" si="327"/>
        <v>0</v>
      </c>
      <c r="CU187" s="69">
        <f t="shared" si="327"/>
        <v>0</v>
      </c>
      <c r="CV187" s="69">
        <f t="shared" si="327"/>
        <v>93051000</v>
      </c>
      <c r="CW187" s="70">
        <f t="shared" si="303"/>
        <v>0.62517823641226244</v>
      </c>
      <c r="CX187" s="69">
        <f t="shared" ref="CX187:DR187" si="328">SUM(CX122:CX186)</f>
        <v>6977596856</v>
      </c>
      <c r="CY187" s="69">
        <f t="shared" si="328"/>
        <v>0</v>
      </c>
      <c r="CZ187" s="69">
        <f t="shared" si="328"/>
        <v>0</v>
      </c>
      <c r="DA187" s="69">
        <f t="shared" si="328"/>
        <v>0</v>
      </c>
      <c r="DB187" s="69">
        <f t="shared" si="328"/>
        <v>5704288731</v>
      </c>
      <c r="DC187" s="69">
        <f t="shared" si="328"/>
        <v>7460794</v>
      </c>
      <c r="DD187" s="69">
        <f t="shared" si="328"/>
        <v>167102218</v>
      </c>
      <c r="DE187" s="69">
        <f t="shared" si="328"/>
        <v>0</v>
      </c>
      <c r="DF187" s="69">
        <f t="shared" si="328"/>
        <v>0</v>
      </c>
      <c r="DG187" s="69">
        <f t="shared" si="328"/>
        <v>0</v>
      </c>
      <c r="DH187" s="69">
        <f t="shared" si="328"/>
        <v>1940856</v>
      </c>
      <c r="DI187" s="69">
        <f t="shared" si="328"/>
        <v>3438802</v>
      </c>
      <c r="DJ187" s="69">
        <f t="shared" si="328"/>
        <v>278009476</v>
      </c>
      <c r="DK187" s="69">
        <f t="shared" si="328"/>
        <v>0</v>
      </c>
      <c r="DL187" s="69">
        <f t="shared" si="328"/>
        <v>0</v>
      </c>
      <c r="DM187" s="69">
        <f t="shared" si="328"/>
        <v>134575056</v>
      </c>
      <c r="DN187" s="69">
        <f t="shared" si="328"/>
        <v>230136860</v>
      </c>
      <c r="DO187" s="69">
        <f t="shared" si="328"/>
        <v>0</v>
      </c>
      <c r="DP187" s="69">
        <f t="shared" si="328"/>
        <v>0</v>
      </c>
      <c r="DQ187" s="69">
        <f t="shared" si="328"/>
        <v>92524043</v>
      </c>
      <c r="DR187" s="69">
        <f t="shared" si="328"/>
        <v>358120020</v>
      </c>
    </row>
    <row r="188" spans="1:122" ht="12" customHeight="1" thickTop="1" x14ac:dyDescent="0.25"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5"/>
      <c r="N188" s="65"/>
      <c r="O188" s="65"/>
      <c r="P188" s="65"/>
      <c r="Q188" s="66"/>
      <c r="R188" s="65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I188" s="62"/>
      <c r="AJ188" s="59"/>
      <c r="AK188" s="59"/>
      <c r="AL188" s="59"/>
      <c r="AM188" s="59"/>
      <c r="AN188" s="59"/>
      <c r="AO188" s="59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  <c r="BD188" s="59"/>
      <c r="BE188" s="62"/>
      <c r="BF188" s="59"/>
      <c r="BG188" s="59"/>
      <c r="BH188" s="59"/>
      <c r="BI188" s="59"/>
      <c r="BJ188" s="59"/>
      <c r="BK188" s="59"/>
      <c r="BL188" s="59"/>
      <c r="BM188" s="59"/>
      <c r="BN188" s="59"/>
      <c r="BO188" s="59"/>
      <c r="BP188" s="59"/>
      <c r="BQ188" s="59"/>
      <c r="BR188" s="59"/>
      <c r="BS188" s="59"/>
      <c r="BT188" s="59"/>
      <c r="BU188" s="59"/>
      <c r="BV188" s="59"/>
      <c r="BW188" s="59"/>
      <c r="BX188" s="59"/>
      <c r="BY188" s="59"/>
      <c r="BZ188" s="59"/>
      <c r="CA188" s="62"/>
      <c r="CB188" s="63"/>
      <c r="CC188" s="59"/>
      <c r="CD188" s="59"/>
      <c r="CE188" s="59"/>
      <c r="CF188" s="59"/>
      <c r="CG188" s="59"/>
      <c r="CH188" s="59"/>
      <c r="CI188" s="59"/>
      <c r="CJ188" s="59"/>
      <c r="CK188" s="59"/>
      <c r="CL188" s="59"/>
      <c r="CM188" s="59"/>
      <c r="CN188" s="59"/>
      <c r="CO188" s="59"/>
      <c r="CP188" s="59"/>
      <c r="CQ188" s="59"/>
      <c r="CR188" s="59"/>
      <c r="CS188" s="59"/>
      <c r="CT188" s="59"/>
      <c r="CU188" s="59"/>
      <c r="CV188" s="59"/>
      <c r="CW188" s="62"/>
      <c r="CX188" s="59"/>
      <c r="CY188" s="59"/>
      <c r="CZ188" s="59"/>
      <c r="DA188" s="59"/>
      <c r="DB188" s="59"/>
      <c r="DC188" s="59"/>
      <c r="DD188" s="59"/>
      <c r="DE188" s="59"/>
      <c r="DF188" s="59"/>
      <c r="DG188" s="59"/>
      <c r="DH188" s="59"/>
      <c r="DI188" s="59"/>
      <c r="DJ188" s="59"/>
      <c r="DK188" s="59"/>
      <c r="DL188" s="59"/>
      <c r="DM188" s="59"/>
      <c r="DN188" s="59"/>
      <c r="DO188" s="59"/>
      <c r="DP188" s="59"/>
      <c r="DQ188" s="59"/>
      <c r="DR188" s="59"/>
    </row>
    <row r="189" spans="1:122" ht="19.5" customHeight="1" thickBot="1" x14ac:dyDescent="0.3">
      <c r="C189" s="250" t="s">
        <v>10</v>
      </c>
      <c r="D189" s="251"/>
      <c r="E189" s="252"/>
      <c r="F189" s="61"/>
      <c r="G189" s="19">
        <f>G34+G67+G103+G121+G187</f>
        <v>31953000000</v>
      </c>
      <c r="H189" s="19">
        <f>H34+H67+H103+H121+H187</f>
        <v>11616159919</v>
      </c>
      <c r="I189" s="19">
        <f>I34+I67+I103+I121+I187</f>
        <v>13401433555</v>
      </c>
      <c r="J189" s="61"/>
      <c r="K189" s="61"/>
      <c r="L189" s="61"/>
      <c r="M189" s="59">
        <f t="shared" ref="M189:AG189" si="329">M34+M67+M103+M121+M187</f>
        <v>25017593474</v>
      </c>
      <c r="N189" s="59">
        <f t="shared" si="329"/>
        <v>104079469</v>
      </c>
      <c r="O189" s="59">
        <f t="shared" si="329"/>
        <v>134533656</v>
      </c>
      <c r="P189" s="59">
        <f t="shared" si="329"/>
        <v>396726534</v>
      </c>
      <c r="Q189" s="59">
        <f t="shared" si="329"/>
        <v>9862143612</v>
      </c>
      <c r="R189" s="59">
        <f t="shared" si="329"/>
        <v>92895874</v>
      </c>
      <c r="S189" s="59">
        <f t="shared" si="329"/>
        <v>2509180877</v>
      </c>
      <c r="T189" s="59">
        <f t="shared" si="329"/>
        <v>1300000000</v>
      </c>
      <c r="U189" s="59">
        <f t="shared" si="329"/>
        <v>102810569</v>
      </c>
      <c r="V189" s="59">
        <f t="shared" si="329"/>
        <v>219471348</v>
      </c>
      <c r="W189" s="59">
        <f t="shared" si="329"/>
        <v>1940856</v>
      </c>
      <c r="X189" s="59">
        <f t="shared" si="329"/>
        <v>3438802</v>
      </c>
      <c r="Y189" s="59">
        <f t="shared" si="329"/>
        <v>318664514</v>
      </c>
      <c r="Z189" s="59">
        <f t="shared" si="329"/>
        <v>4114878115</v>
      </c>
      <c r="AA189" s="59">
        <f t="shared" si="329"/>
        <v>1077016006</v>
      </c>
      <c r="AB189" s="59">
        <f t="shared" si="329"/>
        <v>1074256830</v>
      </c>
      <c r="AC189" s="59">
        <f t="shared" si="329"/>
        <v>963627417</v>
      </c>
      <c r="AD189" s="59">
        <f t="shared" si="329"/>
        <v>1181607989</v>
      </c>
      <c r="AE189" s="59">
        <f t="shared" si="329"/>
        <v>80844085</v>
      </c>
      <c r="AF189" s="59">
        <f t="shared" si="329"/>
        <v>92524043</v>
      </c>
      <c r="AG189" s="59">
        <f t="shared" si="329"/>
        <v>1386952878</v>
      </c>
      <c r="AI189" s="60">
        <f>+AJ189/M189</f>
        <v>0.66034756685006646</v>
      </c>
      <c r="AJ189" s="59">
        <f t="shared" ref="AJ189:BD189" si="330">AJ34+AJ67+AJ103+AJ121+AJ187</f>
        <v>16520306979</v>
      </c>
      <c r="AK189" s="59">
        <f t="shared" si="330"/>
        <v>103688299</v>
      </c>
      <c r="AL189" s="59">
        <f t="shared" si="330"/>
        <v>133268976</v>
      </c>
      <c r="AM189" s="59">
        <f t="shared" si="330"/>
        <v>396726534</v>
      </c>
      <c r="AN189" s="59">
        <f t="shared" si="330"/>
        <v>4910165187</v>
      </c>
      <c r="AO189" s="59">
        <f t="shared" si="330"/>
        <v>17503290</v>
      </c>
      <c r="AP189" s="59">
        <f t="shared" si="330"/>
        <v>1959007333</v>
      </c>
      <c r="AQ189" s="59">
        <f t="shared" si="330"/>
        <v>1132695531</v>
      </c>
      <c r="AR189" s="59">
        <f t="shared" si="330"/>
        <v>102810569</v>
      </c>
      <c r="AS189" s="59">
        <f t="shared" si="330"/>
        <v>219471348</v>
      </c>
      <c r="AT189" s="59">
        <f t="shared" si="330"/>
        <v>0</v>
      </c>
      <c r="AU189" s="59">
        <f t="shared" si="330"/>
        <v>0</v>
      </c>
      <c r="AV189" s="59">
        <f t="shared" si="330"/>
        <v>40655038</v>
      </c>
      <c r="AW189" s="59">
        <f t="shared" si="330"/>
        <v>2606923243</v>
      </c>
      <c r="AX189" s="59">
        <f t="shared" si="330"/>
        <v>904023169</v>
      </c>
      <c r="AY189" s="59">
        <f t="shared" si="330"/>
        <v>742234156</v>
      </c>
      <c r="AZ189" s="59">
        <f t="shared" si="330"/>
        <v>835087016</v>
      </c>
      <c r="BA189" s="59">
        <f t="shared" si="330"/>
        <v>1157607989</v>
      </c>
      <c r="BB189" s="59">
        <f t="shared" si="330"/>
        <v>80844085</v>
      </c>
      <c r="BC189" s="59">
        <f t="shared" si="330"/>
        <v>92524043</v>
      </c>
      <c r="BD189" s="59">
        <f t="shared" si="330"/>
        <v>1085071173</v>
      </c>
      <c r="BE189" s="16">
        <f>1-AI189</f>
        <v>0.33965243314993354</v>
      </c>
      <c r="BF189" s="59">
        <f t="shared" ref="BF189:BZ189" si="331">BF34+BF67+BF103+BF121+BF187</f>
        <v>8497286495</v>
      </c>
      <c r="BG189" s="59">
        <f t="shared" si="331"/>
        <v>391170</v>
      </c>
      <c r="BH189" s="59">
        <f t="shared" si="331"/>
        <v>1264680</v>
      </c>
      <c r="BI189" s="59">
        <f t="shared" si="331"/>
        <v>0</v>
      </c>
      <c r="BJ189" s="59">
        <f t="shared" si="331"/>
        <v>4951978425</v>
      </c>
      <c r="BK189" s="59">
        <f t="shared" si="331"/>
        <v>75392584</v>
      </c>
      <c r="BL189" s="59">
        <f t="shared" si="331"/>
        <v>550173544</v>
      </c>
      <c r="BM189" s="59">
        <f t="shared" si="331"/>
        <v>167304469</v>
      </c>
      <c r="BN189" s="59">
        <f t="shared" si="331"/>
        <v>0</v>
      </c>
      <c r="BO189" s="59">
        <f t="shared" si="331"/>
        <v>0</v>
      </c>
      <c r="BP189" s="59">
        <f t="shared" si="331"/>
        <v>1940856</v>
      </c>
      <c r="BQ189" s="59">
        <f t="shared" si="331"/>
        <v>3438802</v>
      </c>
      <c r="BR189" s="59">
        <f t="shared" si="331"/>
        <v>278009476</v>
      </c>
      <c r="BS189" s="59">
        <f t="shared" si="331"/>
        <v>1507954872</v>
      </c>
      <c r="BT189" s="59">
        <f t="shared" si="331"/>
        <v>172992837</v>
      </c>
      <c r="BU189" s="59">
        <f t="shared" si="331"/>
        <v>332022674</v>
      </c>
      <c r="BV189" s="59">
        <f t="shared" si="331"/>
        <v>128540401</v>
      </c>
      <c r="BW189" s="59">
        <f t="shared" si="331"/>
        <v>24000000</v>
      </c>
      <c r="BX189" s="59">
        <f t="shared" si="331"/>
        <v>0</v>
      </c>
      <c r="BY189" s="59">
        <f t="shared" si="331"/>
        <v>0</v>
      </c>
      <c r="BZ189" s="59">
        <f t="shared" si="331"/>
        <v>301881705</v>
      </c>
      <c r="CA189" s="16">
        <f>+CB189/M189</f>
        <v>0.46431963694159117</v>
      </c>
      <c r="CB189" s="59">
        <f t="shared" ref="CB189:CV189" si="332">CB34+CB67+CB103+CB121+CB187</f>
        <v>11616159919</v>
      </c>
      <c r="CC189" s="59">
        <f t="shared" si="332"/>
        <v>44765799</v>
      </c>
      <c r="CD189" s="59">
        <f t="shared" si="332"/>
        <v>133268976</v>
      </c>
      <c r="CE189" s="59">
        <f t="shared" si="332"/>
        <v>396726534</v>
      </c>
      <c r="CF189" s="59">
        <f t="shared" si="332"/>
        <v>3932442731</v>
      </c>
      <c r="CG189" s="59">
        <f t="shared" si="332"/>
        <v>12550540</v>
      </c>
      <c r="CH189" s="59">
        <f t="shared" si="332"/>
        <v>1590860535</v>
      </c>
      <c r="CI189" s="59">
        <f t="shared" si="332"/>
        <v>753232380</v>
      </c>
      <c r="CJ189" s="59">
        <f t="shared" si="332"/>
        <v>102810569</v>
      </c>
      <c r="CK189" s="59">
        <f t="shared" si="332"/>
        <v>127534316</v>
      </c>
      <c r="CL189" s="59">
        <f t="shared" si="332"/>
        <v>0</v>
      </c>
      <c r="CM189" s="59">
        <f t="shared" si="332"/>
        <v>0</v>
      </c>
      <c r="CN189" s="59">
        <f t="shared" si="332"/>
        <v>40655038</v>
      </c>
      <c r="CO189" s="59">
        <f t="shared" si="332"/>
        <v>1208261737</v>
      </c>
      <c r="CP189" s="59">
        <f t="shared" si="332"/>
        <v>557575145</v>
      </c>
      <c r="CQ189" s="59">
        <f t="shared" si="332"/>
        <v>575245878</v>
      </c>
      <c r="CR189" s="59">
        <f t="shared" si="332"/>
        <v>430459973</v>
      </c>
      <c r="CS189" s="59">
        <f t="shared" si="332"/>
        <v>1016162182</v>
      </c>
      <c r="CT189" s="59">
        <f t="shared" si="332"/>
        <v>25815097</v>
      </c>
      <c r="CU189" s="59">
        <f t="shared" si="332"/>
        <v>0</v>
      </c>
      <c r="CV189" s="59">
        <f t="shared" si="332"/>
        <v>667792489</v>
      </c>
      <c r="CW189" s="182">
        <f>1-CA189</f>
        <v>0.53568036305840883</v>
      </c>
      <c r="CX189" s="59">
        <f t="shared" ref="CX189:DR189" si="333">CX34+CX67+CX103+CX121+CX187</f>
        <v>13401433555</v>
      </c>
      <c r="CY189" s="59">
        <f t="shared" si="333"/>
        <v>59313670</v>
      </c>
      <c r="CZ189" s="59">
        <f t="shared" si="333"/>
        <v>1264680</v>
      </c>
      <c r="DA189" s="59">
        <f t="shared" si="333"/>
        <v>0</v>
      </c>
      <c r="DB189" s="59">
        <f t="shared" si="333"/>
        <v>5929700881</v>
      </c>
      <c r="DC189" s="59">
        <f t="shared" si="333"/>
        <v>80345334</v>
      </c>
      <c r="DD189" s="59">
        <f t="shared" si="333"/>
        <v>918320342</v>
      </c>
      <c r="DE189" s="59">
        <f t="shared" si="333"/>
        <v>546767620</v>
      </c>
      <c r="DF189" s="59">
        <f t="shared" si="333"/>
        <v>0</v>
      </c>
      <c r="DG189" s="59">
        <f t="shared" si="333"/>
        <v>91937032</v>
      </c>
      <c r="DH189" s="59">
        <f t="shared" si="333"/>
        <v>1940856</v>
      </c>
      <c r="DI189" s="59">
        <f t="shared" si="333"/>
        <v>3438802</v>
      </c>
      <c r="DJ189" s="59">
        <f t="shared" si="333"/>
        <v>278009476</v>
      </c>
      <c r="DK189" s="59">
        <f t="shared" si="333"/>
        <v>2906616378</v>
      </c>
      <c r="DL189" s="59">
        <f t="shared" si="333"/>
        <v>519440861</v>
      </c>
      <c r="DM189" s="59">
        <f t="shared" si="333"/>
        <v>499010952</v>
      </c>
      <c r="DN189" s="59">
        <f t="shared" si="333"/>
        <v>533167444</v>
      </c>
      <c r="DO189" s="59">
        <f t="shared" si="333"/>
        <v>165445807</v>
      </c>
      <c r="DP189" s="59">
        <f t="shared" si="333"/>
        <v>55028988</v>
      </c>
      <c r="DQ189" s="59">
        <f t="shared" si="333"/>
        <v>92524043</v>
      </c>
      <c r="DR189" s="59">
        <f t="shared" si="333"/>
        <v>719160389</v>
      </c>
    </row>
    <row r="190" spans="1:122" ht="10.5" customHeight="1" thickTop="1" x14ac:dyDescent="0.25">
      <c r="C190" s="58"/>
      <c r="D190" s="58"/>
      <c r="E190" s="57"/>
      <c r="F190" s="57"/>
      <c r="G190" s="57"/>
      <c r="H190" s="57"/>
      <c r="I190" s="57"/>
      <c r="J190" s="57"/>
      <c r="K190" s="57"/>
      <c r="L190" s="57"/>
      <c r="M190" s="55"/>
      <c r="N190" s="55"/>
      <c r="O190" s="55"/>
      <c r="P190" s="55"/>
      <c r="Q190" s="56"/>
      <c r="R190" s="55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I190" s="44"/>
      <c r="AJ190" s="50"/>
      <c r="AK190" s="50"/>
      <c r="AL190" s="50"/>
      <c r="AM190" s="50"/>
      <c r="AN190" s="50"/>
      <c r="AO190" s="50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44"/>
      <c r="BF190" s="50"/>
      <c r="BG190" s="50"/>
      <c r="BH190" s="50"/>
      <c r="BI190" s="50"/>
      <c r="BJ190" s="50"/>
      <c r="BK190" s="50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4"/>
      <c r="CB190" s="54"/>
      <c r="CC190" s="53"/>
      <c r="CD190" s="53"/>
      <c r="CE190" s="53"/>
      <c r="CF190" s="53"/>
      <c r="CG190" s="53"/>
      <c r="CH190" s="52"/>
      <c r="CI190" s="52"/>
      <c r="CJ190" s="52"/>
      <c r="CK190" s="52"/>
      <c r="CL190" s="52"/>
      <c r="CM190" s="52"/>
      <c r="CN190" s="52"/>
      <c r="CO190" s="52"/>
      <c r="CP190" s="52"/>
      <c r="CQ190" s="52"/>
      <c r="CR190" s="52"/>
      <c r="CS190" s="52"/>
      <c r="CT190" s="52"/>
      <c r="CU190" s="52"/>
      <c r="CV190" s="52"/>
      <c r="CW190" s="25"/>
      <c r="CX190" s="51"/>
      <c r="CY190" s="50"/>
      <c r="CZ190" s="50"/>
      <c r="DA190" s="50"/>
      <c r="DB190" s="50"/>
      <c r="DC190" s="50"/>
      <c r="DD190" s="49"/>
      <c r="DE190" s="49"/>
      <c r="DF190" s="49"/>
      <c r="DG190" s="49"/>
      <c r="DH190" s="49"/>
      <c r="DI190" s="49"/>
      <c r="DJ190" s="49"/>
      <c r="DK190" s="49"/>
      <c r="DL190" s="49"/>
      <c r="DM190" s="49"/>
      <c r="DN190" s="49"/>
      <c r="DO190" s="49"/>
      <c r="DP190" s="49"/>
      <c r="DQ190" s="49"/>
      <c r="DR190" s="49"/>
    </row>
    <row r="191" spans="1:122" ht="27" customHeight="1" x14ac:dyDescent="0.25">
      <c r="C191" s="48"/>
      <c r="D191" s="35" t="s">
        <v>9</v>
      </c>
      <c r="E191" s="44">
        <v>111</v>
      </c>
      <c r="F191" s="32">
        <f>+'[11]POAI AC. 032  DEL 18-JUNIO '!$K$51-M191</f>
        <v>0</v>
      </c>
      <c r="G191" s="19">
        <f>SUMIF($E$4:$E$186,"111",$G$4:$G$186)</f>
        <v>20073000000</v>
      </c>
      <c r="H191" s="19">
        <f>SUMIF($E$4:$E$186,"111",$H$4:$H$186)</f>
        <v>1897722132</v>
      </c>
      <c r="I191" s="19">
        <f>SUMIF($E$4:$E$186,"111",$I$4:$I$186)</f>
        <v>4533260397</v>
      </c>
      <c r="J191" s="32"/>
      <c r="K191" s="32"/>
      <c r="L191" s="32"/>
      <c r="M191" s="27">
        <f>SUMIF($E$4:$E$186,"111",$M$4:$M$186)</f>
        <v>6430982529</v>
      </c>
      <c r="N191" s="27">
        <f>SUMIF($E$4:$E$186,"111",$N$4:$N$186)</f>
        <v>0</v>
      </c>
      <c r="O191" s="33">
        <f>SUMIF($E$4:$E$187,"111",$O$4:$O$187)</f>
        <v>0</v>
      </c>
      <c r="P191" s="33">
        <f>SUMIF($E$4:$E$187,"111",$P$4:$P$187)</f>
        <v>0</v>
      </c>
      <c r="Q191" s="33">
        <f>SUMIF($E$4:$E$187,"111",$Q$4:$Q$187)</f>
        <v>5814286148</v>
      </c>
      <c r="R191" s="27">
        <f>SUMIF($E$4:$E$186,"111",$R$4:$R$186)</f>
        <v>20011334</v>
      </c>
      <c r="S191" s="32">
        <f>SUMIF($E$4:$E$187,"111",$S$4:$S$187)</f>
        <v>5000000</v>
      </c>
      <c r="T191" s="32">
        <f>SUMIF($E$4:$E$184,"111",$T$4:$T$184)</f>
        <v>0</v>
      </c>
      <c r="U191" s="32">
        <f>SUMIF($E$4:$E$184,"111",$U$4:$U$184)</f>
        <v>0</v>
      </c>
      <c r="V191" s="32">
        <f>SUMIF($E$4:$E$184,"111",$V$4:$V$184)</f>
        <v>0</v>
      </c>
      <c r="W191" s="32">
        <f>SUMIF($E$4:$E$184,"111",$W$4:$W$184)</f>
        <v>1940856</v>
      </c>
      <c r="X191" s="32">
        <f>SUMIF($E$4:$E$184,"111",$X$4:$X$184)</f>
        <v>3438802</v>
      </c>
      <c r="Y191" s="32">
        <f>SUMIF($E$4:$E$184,"111",$Y$4:$Y$184)</f>
        <v>186380309</v>
      </c>
      <c r="Z191" s="32">
        <f>SUMIF($E$4:$E$184,"111",$Z$4:$Z$184)</f>
        <v>0</v>
      </c>
      <c r="AA191" s="32">
        <f>SUMIF($E$4:$E$184,"111",$AA$4:$AA$184)</f>
        <v>0</v>
      </c>
      <c r="AB191" s="32">
        <f>SUMIF($E$4:$E$184,"111",$AB$4:$AB$184)</f>
        <v>114719551</v>
      </c>
      <c r="AC191" s="32">
        <f>SUMIF($E$4:$E$184,"111",$AC$4:$AC$184)</f>
        <v>78705529</v>
      </c>
      <c r="AD191" s="32">
        <f>SUMIF($E$4:$E$184,"111",$AD$4:$AD$184)</f>
        <v>0</v>
      </c>
      <c r="AE191" s="32">
        <f>SUMIF($E$4:$E$184,"111",$AE$4:$AE$184)</f>
        <v>0</v>
      </c>
      <c r="AF191" s="32">
        <f>SUMIF($E$4:$E$184,"111",$AF$4:$AF$184)</f>
        <v>0</v>
      </c>
      <c r="AG191" s="32">
        <f>SUMIF($E$4:$E$186,"111",$AG$4:$AG$186)</f>
        <v>206500000</v>
      </c>
      <c r="AI191" s="31">
        <f t="shared" ref="AI191:AI199" si="334">+AJ191/M191</f>
        <v>0.35409772110733717</v>
      </c>
      <c r="AJ191" s="30">
        <f t="shared" ref="AJ191:AJ196" si="335">SUM(AK191:BD191)</f>
        <v>2277196258</v>
      </c>
      <c r="AK191" s="27">
        <f>SUMIF($E$4:$E$186,"111",$AK$4:$AK$186)</f>
        <v>0</v>
      </c>
      <c r="AL191" s="27">
        <f>SUMIF($E$4:$E$186,"111",$AL$4:$AL$186)</f>
        <v>0</v>
      </c>
      <c r="AM191" s="27">
        <f>SUMIF($E$4:$E$186,"111",$AM$4:$AM$186)</f>
        <v>0</v>
      </c>
      <c r="AN191" s="27">
        <f>SUMIF($E$4:$E$186,"111",$AN$4:$AN$186)</f>
        <v>2187577968</v>
      </c>
      <c r="AO191" s="27">
        <f>SUMIF($E$4:$E$186,"111",$AO$4:$AO$186)</f>
        <v>17503290</v>
      </c>
      <c r="AP191" s="27">
        <f>SUMIF($E$4:$E$186,"111",$AP$4:$AP$186)</f>
        <v>0</v>
      </c>
      <c r="AQ191" s="27">
        <f>SUMIF($E$4:$E$186,"111",$AQ$4:$AQ$186)</f>
        <v>0</v>
      </c>
      <c r="AR191" s="27">
        <f>SUMIF($E$4:$E$186,"111",$AR$4:$AR$186)</f>
        <v>0</v>
      </c>
      <c r="AS191" s="27">
        <f>SUMIF($E$4:$E$186,"111",$AS$4:$AS$186)</f>
        <v>0</v>
      </c>
      <c r="AT191" s="27">
        <f>SUMIF($E$4:$E$186,"111",$AT$4:$AT$186)</f>
        <v>0</v>
      </c>
      <c r="AU191" s="27">
        <f>SUMIF($E$4:$E$184,"111",$AU$4:$AU$184)</f>
        <v>0</v>
      </c>
      <c r="AV191" s="27">
        <f>SUMIF($E$4:$E$184,"111",$AV$4:$AV$184)</f>
        <v>0</v>
      </c>
      <c r="AW191" s="27">
        <f>SUMIF($E$4:$E$184,"111",$AW$4:$AW$184)</f>
        <v>0</v>
      </c>
      <c r="AX191" s="27">
        <f>SUMIF($E$4:$E$184,"111",$AX$4:$AX$184)</f>
        <v>0</v>
      </c>
      <c r="AY191" s="27">
        <f>SUMIF($E$4:$E$186,"111",$AY$4:$AY$186)</f>
        <v>0</v>
      </c>
      <c r="AZ191" s="27">
        <f>SUMIF($E$4:$E$184,"111",$AZ$4:$AZ$184)</f>
        <v>0</v>
      </c>
      <c r="BA191" s="27">
        <f>SUMIF($E$4:$E$186,"111",$AM$4:$AM$186)</f>
        <v>0</v>
      </c>
      <c r="BB191" s="27">
        <f>SUMIF($E$4:$E$184,"111",$BB$4:$BB$184)</f>
        <v>0</v>
      </c>
      <c r="BC191" s="27">
        <f>SUMIF($E$4:$E$184,"111",$BC$4:$BC$184)</f>
        <v>0</v>
      </c>
      <c r="BD191" s="27">
        <f>SUMIF($E$4:$E$186,"111",$BD$4:$BD$186)</f>
        <v>72115000</v>
      </c>
      <c r="BE191" s="16">
        <f t="shared" ref="BE191:BE199" si="336">1-AI191</f>
        <v>0.64590227889266283</v>
      </c>
      <c r="BF191" s="24">
        <f t="shared" ref="BF191:BF196" si="337">SUM(BG191:BZ191)</f>
        <v>4153786271</v>
      </c>
      <c r="BG191" s="27">
        <f>SUMIF($E$4:$E$186,"111",$AM$4:$AM$186)</f>
        <v>0</v>
      </c>
      <c r="BH191" s="22">
        <f>SUMIF($E$4:$E$184,"111",$BH$4:$BH$184)</f>
        <v>0</v>
      </c>
      <c r="BI191" s="22">
        <f>SUMIF($E$4:$E$184,"111",$BI$4:$BI$184)</f>
        <v>0</v>
      </c>
      <c r="BJ191" s="22">
        <f>SUMIF($E$4:$E$186,"111",$BJ$4:$BJ$186)</f>
        <v>3626708180</v>
      </c>
      <c r="BK191" s="22">
        <f>SUMIF($E$4:$E$186,"111",$BK$4:$BK$186)</f>
        <v>2508044</v>
      </c>
      <c r="BL191" s="22">
        <f>SUMIF($E$4:$E$186,"111",$BL$4:$BL$186)</f>
        <v>5000000</v>
      </c>
      <c r="BM191" s="22">
        <f>SUMIF($E$4:$E$186,"111",$BM$4:$BM$186)</f>
        <v>0</v>
      </c>
      <c r="BN191" s="22">
        <f>SUMIF($E$4:$E$184,"111",$BN$4:$BN$184)</f>
        <v>0</v>
      </c>
      <c r="BO191" s="22">
        <f>SUMIF($E$4:$E$187,"111",$BO$4:$BO$187)</f>
        <v>0</v>
      </c>
      <c r="BP191" s="22">
        <f>SUMIF($E$4:$E$184,"111",$BP$4:$BP$184)</f>
        <v>1940856</v>
      </c>
      <c r="BQ191" s="22">
        <f>SUMIF($E$4:$E$184,"111",$BQ$4:$BQ$184)</f>
        <v>3438802</v>
      </c>
      <c r="BR191" s="22">
        <f>SUMIF($E$4:$E$184,"111",$BR$4:$BR$184)</f>
        <v>186380309</v>
      </c>
      <c r="BS191" s="22">
        <f>SUMIF($E$4:$E$184,"111",$BS$4:$BS$184)</f>
        <v>0</v>
      </c>
      <c r="BT191" s="22">
        <f>SUMIF($E$4:$E$184,"111",$BT$4:$BT$184)</f>
        <v>0</v>
      </c>
      <c r="BU191" s="22">
        <f>SUMIF($E$4:$E$184,"111",$BU$4:$BU$184)</f>
        <v>114719551</v>
      </c>
      <c r="BV191" s="22">
        <f>SUMIF($E$4:$E$184,"111",$BV$4:$BV$184)</f>
        <v>78705529</v>
      </c>
      <c r="BW191" s="22">
        <f>SUMIF($E$4:$E$184,"111",$BW$4:$BW$184)</f>
        <v>0</v>
      </c>
      <c r="BX191" s="22">
        <f>SUMIF($E$4:$E$184,"111",$BX$4:$BX$184)</f>
        <v>0</v>
      </c>
      <c r="BY191" s="22">
        <f>SUMIF($E$4:$E$184,"111",$BY$4:$BY$184)</f>
        <v>0</v>
      </c>
      <c r="BZ191" s="29">
        <f>SUMIF($E$4:$E$186,"111",$BZ$4:$BZ$186)</f>
        <v>134385000</v>
      </c>
      <c r="CA191" s="28">
        <f t="shared" ref="CA191:CA199" si="338">+CB191/M191</f>
        <v>0.29509054385428263</v>
      </c>
      <c r="CB191" s="45">
        <f t="shared" ref="CB191:CB196" si="339">SUM(CC191:CV191)</f>
        <v>1897722132</v>
      </c>
      <c r="CC191" s="27">
        <f>SUMIF($E$4:$E$186,"111",$CC$4:$CC$186)</f>
        <v>0</v>
      </c>
      <c r="CD191" s="27">
        <f>SUMIF($E$4:$E$184,"111",$CD$4:$CD$184)</f>
        <v>0</v>
      </c>
      <c r="CE191" s="27">
        <f>SUMIF($E$4:$E$184,"111",$CE$4:$CE$184)</f>
        <v>0</v>
      </c>
      <c r="CF191" s="27">
        <f>SUMIF($E$4:$E$184,"111",$CF$4:$CF$184)</f>
        <v>1863910192</v>
      </c>
      <c r="CG191" s="27">
        <f>SUMIF($E$4:$E$186,"111",$CG$4:$CG$186)</f>
        <v>12550540</v>
      </c>
      <c r="CH191" s="27">
        <f>SUMIF($E$4:$E$184,"111",$CH$4:$CH$184)</f>
        <v>0</v>
      </c>
      <c r="CI191" s="27">
        <f>SUMIF($E$4:$E$184,"111",$CI$4:$CI$184)</f>
        <v>0</v>
      </c>
      <c r="CJ191" s="27">
        <f>SUMIF($E$4:$E$186,"111",$CJ$4:$CJ$186)</f>
        <v>0</v>
      </c>
      <c r="CK191" s="27">
        <f>SUMIF($E$4:$E$184,"111",$CK$4:$CK$184)</f>
        <v>0</v>
      </c>
      <c r="CL191" s="27">
        <f>SUMIF($E$4:$E$184,"111",$CL$4:$CL$184)</f>
        <v>0</v>
      </c>
      <c r="CM191" s="27">
        <f>SUMIF($E$4:$E$184,"111",$CM$4:$CM$184)</f>
        <v>0</v>
      </c>
      <c r="CN191" s="27">
        <f>SUMIF($E$4:$E$184,"111",$CN$4:$CN$184)</f>
        <v>0</v>
      </c>
      <c r="CO191" s="27">
        <f>SUMIF($E$4:$E$184,"111",$CO$4:$CO$184)</f>
        <v>0</v>
      </c>
      <c r="CP191" s="27">
        <f>SUMIF($E$4:$E$184,"111",$CP$4:$CP$184)</f>
        <v>0</v>
      </c>
      <c r="CQ191" s="27">
        <f>SUMIF($E$4:$E$184,"111",$CQ$4:$CQ$184)</f>
        <v>0</v>
      </c>
      <c r="CR191" s="27">
        <f>SUMIF($E$4:$E$184,"111",$CR$4:$CR$184)</f>
        <v>0</v>
      </c>
      <c r="CS191" s="27">
        <f>SUMIF($E$4:$E$184,"111",$CS$4:$CS$184)</f>
        <v>0</v>
      </c>
      <c r="CT191" s="27">
        <f>SUMIF($E$4:$E$184,"111",$CT$4:$CT$184)</f>
        <v>0</v>
      </c>
      <c r="CU191" s="27">
        <f>SUMIF($E$4:$E$184,"111",$CU$4:$CU$184)</f>
        <v>0</v>
      </c>
      <c r="CV191" s="26">
        <f>SUMIF($E$4:$E$184,"111",$CV$4:$CV$184)</f>
        <v>21261400</v>
      </c>
      <c r="CW191" s="25">
        <f t="shared" ref="CW191:CW199" si="340">1-CA191</f>
        <v>0.70490945614571743</v>
      </c>
      <c r="CX191" s="24">
        <f t="shared" ref="CX191:CX196" si="341">SUM(CY191:DR191)</f>
        <v>4533260397</v>
      </c>
      <c r="CY191" s="23">
        <f>SUMIF($E$4:$E$186,"111",$CY$4:$CY$186)</f>
        <v>0</v>
      </c>
      <c r="CZ191" s="22">
        <f>SUMIF($E$4:$E$186,"111",$CZ$4:$CZ$186)</f>
        <v>0</v>
      </c>
      <c r="DA191" s="22">
        <f>SUMIF($E$4:$E$186,"111",$DA$4:$DA$186)</f>
        <v>0</v>
      </c>
      <c r="DB191" s="22">
        <f>SUMIF($E$4:$E$186,"111",$DB$4:$DB$186)</f>
        <v>3950375956</v>
      </c>
      <c r="DC191" s="22">
        <f>SUMIF($E$4:$E$186,"111",$DC$4:$DC$186)</f>
        <v>7460794</v>
      </c>
      <c r="DD191" s="22">
        <f>SUMIF($E$4:$E$186,"111",$DD$4:$DD$186)</f>
        <v>5000000</v>
      </c>
      <c r="DE191" s="22">
        <f>SUMIF($E$4:$E$186,"111",$DE$4:$DE$186)</f>
        <v>0</v>
      </c>
      <c r="DF191" s="22">
        <f>SUMIF($E$4:$E$186,"111",$DF$4:$DF$186)</f>
        <v>0</v>
      </c>
      <c r="DG191" s="21">
        <f>SUMIF($E$4:$E$184,"111",$DG$4:$DG$184)</f>
        <v>0</v>
      </c>
      <c r="DH191" s="21">
        <f>SUMIF($E$4:$E$184,"111",$DH$4:$DH$184)</f>
        <v>1940856</v>
      </c>
      <c r="DI191" s="21">
        <f>SUMIF($E$4:$E$186,"111",$DI$4:$DI$186)</f>
        <v>3438802</v>
      </c>
      <c r="DJ191" s="21">
        <f>SUMIF($E$4:$E$184,"111",$DJ$4:$DJ$184)</f>
        <v>186380309</v>
      </c>
      <c r="DK191" s="21">
        <f>SUMIF($E$4:$E$184,"111",$DK$4:$DK$184)</f>
        <v>0</v>
      </c>
      <c r="DL191" s="21">
        <f>SUMIF($E$4:$E$186,"111",$DL$4:$DL$186)</f>
        <v>0</v>
      </c>
      <c r="DM191" s="21">
        <f>SUMIF($E$4:$E$186,"111",$DM$4:$DM$186)</f>
        <v>114719551</v>
      </c>
      <c r="DN191" s="21">
        <f>SUMIF($E$4:$E$184,"111",$DN$4:$DN$184)</f>
        <v>78705529</v>
      </c>
      <c r="DO191" s="21">
        <f>SUMIF($E$4:$E$184,"111",$DO$4:$DO$184)</f>
        <v>0</v>
      </c>
      <c r="DP191" s="21">
        <f>SUMIF($E$4:$E$184,"111",$DP$4:$DP$184)</f>
        <v>0</v>
      </c>
      <c r="DQ191" s="21">
        <f>SUMIF($E$4:$E$184,"111",$DQ$4:$DQ$184)</f>
        <v>0</v>
      </c>
      <c r="DR191" s="21">
        <f>SUMIF($E$4:$E$186,"111",$DR$4:$DR$186)</f>
        <v>185238600</v>
      </c>
    </row>
    <row r="192" spans="1:122" ht="25.5" customHeight="1" x14ac:dyDescent="0.25">
      <c r="C192" s="47"/>
      <c r="D192" s="35" t="s">
        <v>8</v>
      </c>
      <c r="E192" s="44">
        <v>211</v>
      </c>
      <c r="F192" s="32"/>
      <c r="G192" s="19">
        <f>SUMIF($E$4:$E$186,"211",$G$4:$G$186)</f>
        <v>0</v>
      </c>
      <c r="H192" s="19">
        <f>SUMIF($E$4:$E$186,"211",$H$4:$H$186)</f>
        <v>1788793331</v>
      </c>
      <c r="I192" s="19">
        <f>SUMIF($E$4:$E$186,"211",$I$4:$I$186)</f>
        <v>2108351822</v>
      </c>
      <c r="J192" s="32"/>
      <c r="K192" s="32"/>
      <c r="L192" s="32"/>
      <c r="M192" s="27">
        <f>SUMIF($E$4:$E$186,"211",$M$4:$M$186)</f>
        <v>3897145153</v>
      </c>
      <c r="N192" s="27">
        <f>SUMIF($E$4:$E$186,"211",$N$4:$N$186)</f>
        <v>0</v>
      </c>
      <c r="O192" s="33">
        <f>SUMIF($E$4:$E$187,"211",$O$4:$O$187)</f>
        <v>0</v>
      </c>
      <c r="P192" s="33">
        <f>SUMIF($E$4:$E$187,"211",$P$4:$P$187)</f>
        <v>0</v>
      </c>
      <c r="Q192" s="33">
        <f>SUMIF($E$4:$E$187,"211",$Q$4:$Q$187)</f>
        <v>3222135433</v>
      </c>
      <c r="R192" s="27">
        <f>SUMIF($E$4:$E$186,"211",$R$4:$R$186)</f>
        <v>0</v>
      </c>
      <c r="S192" s="32">
        <f>SUMIF($E$4:$E$184,"211",$S$4:$S$184)</f>
        <v>210000000</v>
      </c>
      <c r="T192" s="32">
        <f>SUMIF($E$4:$E$184,"211",$T$4:$T$184)</f>
        <v>0</v>
      </c>
      <c r="U192" s="32">
        <f>SUMIF($E$4:$E$184,"211",$U$4:$U$184)</f>
        <v>0</v>
      </c>
      <c r="V192" s="32">
        <f>SUMIF($E$4:$E$184,"211",$V$4:$V$184)</f>
        <v>0</v>
      </c>
      <c r="W192" s="32">
        <f>SUMIF($E$4:$E$184,"211",$W$4:$W$184)</f>
        <v>0</v>
      </c>
      <c r="X192" s="32">
        <f>SUMIF($E$4:$E$184,"211",$X$4:$X$184)</f>
        <v>0</v>
      </c>
      <c r="Y192" s="32">
        <f>SUMIF($E$4:$E$184,"211",$Y$4:$Y$184)</f>
        <v>132284205</v>
      </c>
      <c r="Z192" s="32">
        <f>SUMIF($E$4:$E$184,"211",$Z$4:$Z$184)</f>
        <v>0</v>
      </c>
      <c r="AA192" s="32">
        <f>SUMIF($E$4:$E$184,"211",$AA$4:$AA$184)</f>
        <v>0</v>
      </c>
      <c r="AB192" s="32">
        <f>SUMIF($E$4:$E$184,"211",$AB$4:$AB$184)</f>
        <v>0</v>
      </c>
      <c r="AC192" s="32">
        <f>SUMIF($E$4:$E$184,"211",$AC$4:$AC$184)</f>
        <v>25530452</v>
      </c>
      <c r="AD192" s="32">
        <f>SUMIF($E$4:$E$184,"211",$AD$4:$AD$184)</f>
        <v>0</v>
      </c>
      <c r="AE192" s="32">
        <f>SUMIF($E$4:$E$184,"211",$AE$4:$AE$184)</f>
        <v>0</v>
      </c>
      <c r="AF192" s="32">
        <f>SUMIF($E$4:$E$184,"211",$AF$4:$AF$184)</f>
        <v>92524043</v>
      </c>
      <c r="AG192" s="32">
        <f>SUMIF($E$4:$E$186,"211",$AG$4:$AG$186)</f>
        <v>214671020</v>
      </c>
      <c r="AI192" s="31">
        <f t="shared" si="334"/>
        <v>0.62745201217810531</v>
      </c>
      <c r="AJ192" s="30">
        <f t="shared" si="335"/>
        <v>2445271568</v>
      </c>
      <c r="AK192" s="27">
        <f>SUMIF($E$4:$E$184,"211",$AK$4:$AK$184)</f>
        <v>0</v>
      </c>
      <c r="AL192" s="27">
        <f>SUMIF($E$4:$E$186,"211",$AL$4:$AL$186)</f>
        <v>0</v>
      </c>
      <c r="AM192" s="27">
        <f>SUMIF($E$4:$E$186,"211",$AM$4:$AM$186)</f>
        <v>0</v>
      </c>
      <c r="AN192" s="27">
        <f>SUMIF($E$4:$E$186,"211",$AN$4:$AN$186)</f>
        <v>1896865188</v>
      </c>
      <c r="AO192" s="27">
        <f>SUMIF($E$4:$E$184,"211",$AO$4:$AO$184)</f>
        <v>0</v>
      </c>
      <c r="AP192" s="27">
        <f>SUMIF($E$4:$E$184,"211",$AP$4:$AP$184)</f>
        <v>210000000</v>
      </c>
      <c r="AQ192" s="27">
        <f>SUMIF($E$4:$E$186,"211",$AQ$4:$AQ$186)</f>
        <v>0</v>
      </c>
      <c r="AR192" s="27">
        <f>SUMIF($E$4:$E$186,"211",$AR$4:$AR$186)</f>
        <v>0</v>
      </c>
      <c r="AS192" s="27">
        <f>SUMIF($E$4:$E$184,"211",$AS$4:$AS$184)</f>
        <v>0</v>
      </c>
      <c r="AT192" s="27">
        <f>SUMIF($E$4:$E$184,"211",$AT$4:$AT$184)</f>
        <v>0</v>
      </c>
      <c r="AU192" s="27">
        <f>SUMIF($E$4:$E$184,"211",$AU$4:$AU$184)</f>
        <v>0</v>
      </c>
      <c r="AV192" s="27">
        <f>SUMIF($E$4:$E$184,"211",$AV$4:$AV$184)</f>
        <v>40655038</v>
      </c>
      <c r="AW192" s="27">
        <f>SUMIF($E$4:$E$184,"211",$AW$4:$AW$184)</f>
        <v>0</v>
      </c>
      <c r="AX192" s="27">
        <f>SUMIF($E$4:$E$184,"211",$AX$4:$AX$184)</f>
        <v>0</v>
      </c>
      <c r="AY192" s="27">
        <f>SUMIF($E$4:$E$186,"211",$AY$4:$AY$186)</f>
        <v>0</v>
      </c>
      <c r="AZ192" s="27">
        <f>SUMIF($E$4:$E$184,"211",$AZ$4:$AZ$184)</f>
        <v>25530452</v>
      </c>
      <c r="BA192" s="27">
        <f>SUMIF($E$4:$E$184,"211",$BA$4:$BA$184)</f>
        <v>0</v>
      </c>
      <c r="BB192" s="27">
        <f>SUMIF($E$4:$E$184,"211",$BB$4:$BB$184)</f>
        <v>0</v>
      </c>
      <c r="BC192" s="27">
        <f>SUMIF($E$4:$E$184,"211",$BC$4:$BC$184)</f>
        <v>92524043</v>
      </c>
      <c r="BD192" s="27">
        <f>SUMIF($E$4:$E$186,"211",$BD$4:$BD$186)</f>
        <v>179696847</v>
      </c>
      <c r="BE192" s="16">
        <f t="shared" si="336"/>
        <v>0.37254798782189469</v>
      </c>
      <c r="BF192" s="24">
        <f t="shared" si="337"/>
        <v>1451873585</v>
      </c>
      <c r="BG192" s="22">
        <f>SUMIF($E$4:$E$184,"211",$BG$4:$BG$184)</f>
        <v>0</v>
      </c>
      <c r="BH192" s="22">
        <f>SUMIF($E$4:$E$184,"211",$BH$4:$BH$184)</f>
        <v>0</v>
      </c>
      <c r="BI192" s="22">
        <f>SUMIF($E$4:$E$184,"211",$BI$4:$BI$184)</f>
        <v>0</v>
      </c>
      <c r="BJ192" s="22">
        <f>SUMIF($E$4:$E$186,"211",$BJ$4:$BJ$186)</f>
        <v>1325270245</v>
      </c>
      <c r="BK192" s="22">
        <f>SUMIF($E$4:$E$186,"211",$BK$4:$BK$186)</f>
        <v>0</v>
      </c>
      <c r="BL192" s="22">
        <f>SUMIF($E$4:$E$186,"211",$BL$4:$BL$186)</f>
        <v>0</v>
      </c>
      <c r="BM192" s="22">
        <f>SUMIF($E$4:$E$186,"211",$BM$4:$BM$186)</f>
        <v>0</v>
      </c>
      <c r="BN192" s="22">
        <f>SUMIF($E$4:$E$184,"211",$BN$4:$BN$184)</f>
        <v>0</v>
      </c>
      <c r="BO192" s="22">
        <f>SUMIF($E$4:$E$184,"211",$BO$4:$BO$184)</f>
        <v>0</v>
      </c>
      <c r="BP192" s="22">
        <f>SUMIF($E$4:$E$184,"211",$BP$4:$BP$184)</f>
        <v>0</v>
      </c>
      <c r="BQ192" s="22">
        <f>SUMIF($E$4:$E$184,"211",$BQ$4:$BQ$184)</f>
        <v>0</v>
      </c>
      <c r="BR192" s="22">
        <f>SUMIF($E$4:$E$184,"211",$BR$4:$BR$184)</f>
        <v>91629167</v>
      </c>
      <c r="BS192" s="22">
        <f>SUMIF($E$4:$E$184,"211",$BS$4:$BS$184)</f>
        <v>0</v>
      </c>
      <c r="BT192" s="22">
        <f>SUMIF($E$4:$E$184,"211",$BT$4:$BT$184)</f>
        <v>0</v>
      </c>
      <c r="BU192" s="22">
        <f>SUMIF($E$4:$E$184,"211",$BU$4:$BU$184)</f>
        <v>0</v>
      </c>
      <c r="BV192" s="22">
        <f>SUMIF($E$4:$E$184,"211",$BV$4:$BV$184)</f>
        <v>0</v>
      </c>
      <c r="BW192" s="22">
        <f>SUMIF($E$4:$E$184,"211",$BW$4:$BW$184)</f>
        <v>0</v>
      </c>
      <c r="BX192" s="22">
        <f>SUMIF($E$4:$E$184,"211",$BX$4:$BX$184)</f>
        <v>0</v>
      </c>
      <c r="BY192" s="22">
        <f>SUMIF($E$4:$E$184,"211",$BY$4:$BY$184)</f>
        <v>0</v>
      </c>
      <c r="BZ192" s="29">
        <f>SUMIF($E$4:$E$186,"211",$BZ$4:$BZ$186)</f>
        <v>34974173</v>
      </c>
      <c r="CA192" s="28">
        <f t="shared" si="338"/>
        <v>0.45900095089427118</v>
      </c>
      <c r="CB192" s="45">
        <f t="shared" si="339"/>
        <v>1788793331</v>
      </c>
      <c r="CC192" s="27">
        <f>SUMIF($E$4:$E$186,"211",$CC$4:$CC$186)</f>
        <v>0</v>
      </c>
      <c r="CD192" s="27">
        <f>SUMIF($E$4:$E$184,"211",$CD$4:$CD$184)</f>
        <v>0</v>
      </c>
      <c r="CE192" s="27">
        <f>SUMIF($E$4:$E$184,"211",$CE$4:$CE$184)</f>
        <v>0</v>
      </c>
      <c r="CF192" s="27">
        <f>SUMIF($E$4:$E$184,"211",$CF$4:$CF$184)</f>
        <v>1468222658</v>
      </c>
      <c r="CG192" s="27">
        <f>SUMIF($E$4:$E$186,"211",$CG$4:$CG$186)</f>
        <v>0</v>
      </c>
      <c r="CH192" s="27">
        <f>SUMIF($E$4:$E$184,"211",$CH$4:$CH$184)</f>
        <v>208736238</v>
      </c>
      <c r="CI192" s="27">
        <f>SUMIF($E$4:$E$184,"211",$CI$4:$CI$184)</f>
        <v>0</v>
      </c>
      <c r="CJ192" s="27">
        <f>SUMIF($E$4:$E$186,"211",$CJ$4:$CJ$186)</f>
        <v>0</v>
      </c>
      <c r="CK192" s="27">
        <f>SUMIF($E$4:$E$184,"211",$CK$4:$CK$184)</f>
        <v>0</v>
      </c>
      <c r="CL192" s="27">
        <f>SUMIF($E$4:$E$184,"211",$CL$4:$CL$184)</f>
        <v>0</v>
      </c>
      <c r="CM192" s="27">
        <f>SUMIF($E$4:$E$184,"211",$CM$4:$CM$184)</f>
        <v>0</v>
      </c>
      <c r="CN192" s="27">
        <f>SUMIF($E$4:$E$184,"211",$CN$4:$CN$184)</f>
        <v>40655038</v>
      </c>
      <c r="CO192" s="27">
        <f>SUMIF($E$4:$E$184,"211",$CO$4:$CO$184)</f>
        <v>0</v>
      </c>
      <c r="CP192" s="27">
        <f>SUMIF($E$4:$E$184,"211",$CP$4:$CP$184)</f>
        <v>0</v>
      </c>
      <c r="CQ192" s="27">
        <f>SUMIF($E$4:$E$184,"211",$CQ$4:$CQ$184)</f>
        <v>0</v>
      </c>
      <c r="CR192" s="27">
        <f>SUMIF($E$4:$E$184,"211",$CR$4:$CR$184)</f>
        <v>7976469</v>
      </c>
      <c r="CS192" s="27">
        <f>SUMIF($E$4:$E$184,"211",$CS$4:$CS$184)</f>
        <v>0</v>
      </c>
      <c r="CT192" s="27">
        <f>SUMIF($E$4:$E$184,"211",$CT$4:$CT$184)</f>
        <v>0</v>
      </c>
      <c r="CU192" s="27">
        <f>SUMIF($E$4:$E$184,"211",$CU$4:$CU$184)</f>
        <v>0</v>
      </c>
      <c r="CV192" s="26">
        <f>SUMIF($E$4:$E$184,"211",$CV$4:$CV$184)</f>
        <v>63202928</v>
      </c>
      <c r="CW192" s="25">
        <f t="shared" si="340"/>
        <v>0.54099904910572882</v>
      </c>
      <c r="CX192" s="24">
        <f t="shared" ca="1" si="341"/>
        <v>2108351822</v>
      </c>
      <c r="CY192" s="23">
        <f>SUMIF($E$4:$E$186,"211",$CY$4:$CY$186)</f>
        <v>0</v>
      </c>
      <c r="CZ192" s="22">
        <f ca="1">SUMIF($E$4:$E$187,"211",$CZ$4:$CZ$186)</f>
        <v>0</v>
      </c>
      <c r="DA192" s="22">
        <f>SUMIF($E$4:$E$186,"211",$DA$4:$DA$186)</f>
        <v>0</v>
      </c>
      <c r="DB192" s="22">
        <f>SUMIF($E$4:$E$186,"211",$DB$4:$DB$186)</f>
        <v>1753912775</v>
      </c>
      <c r="DC192" s="22">
        <f>SUMIF($E$4:$E$186,"211",$DC$4:$DC$186)</f>
        <v>0</v>
      </c>
      <c r="DD192" s="22">
        <f>SUMIF($E$4:$E$186,"211",$DD$4:$DD$186)</f>
        <v>1263762</v>
      </c>
      <c r="DE192" s="22">
        <f>SUMIF($E$4:$E$186,"211",$DE$4:$DE$186)</f>
        <v>0</v>
      </c>
      <c r="DF192" s="22">
        <f>SUMIF($E$4:$E$186,"211",$DF$4:$DF$186)</f>
        <v>0</v>
      </c>
      <c r="DG192" s="21">
        <f>SUMIF($E$4:$E$184,"211",$DG$4:$DG$184)</f>
        <v>0</v>
      </c>
      <c r="DH192" s="21">
        <f>SUMIF($E$4:$E$184,"211",$DH$4:$DH$184)</f>
        <v>0</v>
      </c>
      <c r="DI192" s="21">
        <f>SUMIF($E$4:$E$186,"211",$DI$4:$DI$186)</f>
        <v>0</v>
      </c>
      <c r="DJ192" s="21">
        <f>SUMIF($E$4:$E$184,"211",$DJ$4:$DJ$184)</f>
        <v>91629167</v>
      </c>
      <c r="DK192" s="21">
        <f>SUMIF($E$4:$E$184,"211",$DK$4:$DK$184)</f>
        <v>0</v>
      </c>
      <c r="DL192" s="21">
        <f>SUMIF($E$4:$E$186,"211",$DL$4:$DL$186)</f>
        <v>0</v>
      </c>
      <c r="DM192" s="21">
        <f>SUMIF($E$4:$E$186,"211",$DM$4:$DM$186)</f>
        <v>0</v>
      </c>
      <c r="DN192" s="21">
        <f>SUMIF($E$4:$E$184,"211",$DN$4:$DN$184)</f>
        <v>17553983</v>
      </c>
      <c r="DO192" s="21">
        <f>SUMIF($E$4:$E$184,"211",$DO$4:$DO$184)</f>
        <v>0</v>
      </c>
      <c r="DP192" s="21">
        <f>SUMIF($E$4:$E$184,"211",$DP$4:$DP$184)</f>
        <v>0</v>
      </c>
      <c r="DQ192" s="21">
        <f>SUMIF($E$4:$E$184,"211",$DQ$4:$DQ$184)</f>
        <v>92524043</v>
      </c>
      <c r="DR192" s="21">
        <f>SUMIF($E$4:$E$186,"211",$DR$4:$DR$186)</f>
        <v>151468092</v>
      </c>
    </row>
    <row r="193" spans="3:122" ht="25.5" customHeight="1" x14ac:dyDescent="0.25">
      <c r="C193" s="47"/>
      <c r="D193" s="35" t="s">
        <v>7</v>
      </c>
      <c r="E193" s="44">
        <v>310</v>
      </c>
      <c r="F193" s="32"/>
      <c r="G193" s="19">
        <f>SUMIF($E$4:$E$186,"310",$G$4:$G$186)</f>
        <v>1203000000</v>
      </c>
      <c r="H193" s="19">
        <f>SUMIF($E$4:$E$186,"310",$H$4:$H$186)</f>
        <v>565520784</v>
      </c>
      <c r="I193" s="19">
        <f>SUMIF($E$4:$E$186,"310",$I$4:$I$186)</f>
        <v>738732400</v>
      </c>
      <c r="J193" s="32"/>
      <c r="K193" s="32"/>
      <c r="L193" s="32"/>
      <c r="M193" s="27">
        <f>SUMIF($E$4:$E$186,"310",$M$4:$M$187)</f>
        <v>1304253184</v>
      </c>
      <c r="N193" s="27">
        <f>SUMIF($E$4:$E$186,"310",$N$4:$N$186)</f>
        <v>0</v>
      </c>
      <c r="O193" s="33">
        <f>SUMIF($E$4:$E$184,"310",$O$4:$O$184)</f>
        <v>0</v>
      </c>
      <c r="P193" s="33">
        <f>SUMIF($E$4:$E$187,"310",$P$4:$P$187)</f>
        <v>0</v>
      </c>
      <c r="Q193" s="33">
        <f>SUMIF($E$4:$E$184,"310",$Q$4:$Q$184)</f>
        <v>0</v>
      </c>
      <c r="R193" s="27">
        <f>SUMIF($E$4:$E$186,"310",$R$4:$R$186)</f>
        <v>0</v>
      </c>
      <c r="S193" s="32">
        <f>SUMIF($E$4:$E$184,"310",$S$4:$S$184)</f>
        <v>420000000</v>
      </c>
      <c r="T193" s="32">
        <f>SUMIF($E$4:$E$184,"310",$T$4:$T$184)</f>
        <v>321985144</v>
      </c>
      <c r="U193" s="32">
        <f>SUMIF($E$4:$E$184,"310",$U$4:$U$184)</f>
        <v>0</v>
      </c>
      <c r="V193" s="32">
        <f>SUMIF($E$4:$E$184,"310",$V$4:$V$184)</f>
        <v>0</v>
      </c>
      <c r="W193" s="32">
        <f>SUMIF($E$4:$E$184,"310",$W$4:$W$184)</f>
        <v>0</v>
      </c>
      <c r="X193" s="32">
        <f>SUMIF($E$4:$E$184,"310",$X$4:$X$184)</f>
        <v>0</v>
      </c>
      <c r="Y193" s="32">
        <f>SUMIF($E$4:$E$184,"310",$Y$4:$Y$184)</f>
        <v>0</v>
      </c>
      <c r="Z193" s="32">
        <f>SUMIF($E$4:$E$184,"310",$Z$4:$Z$184)</f>
        <v>0</v>
      </c>
      <c r="AA193" s="32">
        <f>SUMIF($E$4:$E$184,"310",$AA$4:$AA$184)</f>
        <v>0</v>
      </c>
      <c r="AB193" s="32">
        <f>SUMIF($E$4:$E$184,"310",$AB$4:$AB$184)</f>
        <v>161000000</v>
      </c>
      <c r="AC193" s="32">
        <f>SUMIF($E$4:$E$184,"310",$AC$4:$AC$184)</f>
        <v>273344421</v>
      </c>
      <c r="AD193" s="32">
        <f>SUMIF($E$4:$E$155,"310",$AD$4:$AD$155)</f>
        <v>0</v>
      </c>
      <c r="AE193" s="32">
        <f>SUMIF($E$4:$E$184,"310",$AE$4:$AE$184)</f>
        <v>0</v>
      </c>
      <c r="AF193" s="32">
        <f>SUMIF($E$4:$E$184,"310",$AF$4:$AF$184)</f>
        <v>0</v>
      </c>
      <c r="AG193" s="32">
        <f>SUMIF($E$4:$E$186,"310",$AG$4:$AG$186)</f>
        <v>127923619</v>
      </c>
      <c r="AI193" s="31">
        <f t="shared" si="334"/>
        <v>0.56933490683354926</v>
      </c>
      <c r="AJ193" s="46">
        <f t="shared" si="335"/>
        <v>742556865</v>
      </c>
      <c r="AK193" s="27">
        <f>SUMIF($E$4:$E$184,"310",$AK$4:$AK$184)</f>
        <v>0</v>
      </c>
      <c r="AL193" s="27">
        <f>SUMIF($E$4:$E$186,"310",$AL$4:$AL$186)</f>
        <v>0</v>
      </c>
      <c r="AM193" s="27">
        <f>SUMIF($E$4:$E$186,"310",$AM$4:$AM$186)</f>
        <v>0</v>
      </c>
      <c r="AN193" s="27">
        <f>SUMIF($E$4:$E$186,"310",$AN$4:$AN$186)</f>
        <v>0</v>
      </c>
      <c r="AO193" s="27">
        <f>SUMIF($E$4:$E$184,"310",$AO$4:$AO$184)</f>
        <v>0</v>
      </c>
      <c r="AP193" s="27">
        <f>SUMIF($E$4:$E$184,"310",$AP$4:$AP$184)</f>
        <v>184777628</v>
      </c>
      <c r="AQ193" s="27">
        <f>SUMIF($E$4:$E$186,"310",$AQ$4:$AQ$186)</f>
        <v>179680675</v>
      </c>
      <c r="AR193" s="27">
        <f>SUMIF($E$4:$E$186,"310",$AR$4:$AR$186)</f>
        <v>0</v>
      </c>
      <c r="AS193" s="27">
        <f>SUMIF($E$4:$E$184,"310",$AS$4:$AS$184)</f>
        <v>0</v>
      </c>
      <c r="AT193" s="27">
        <f>SUMIF($E$4:$E$184,"310",$AT$4:$AT$184)</f>
        <v>0</v>
      </c>
      <c r="AU193" s="27">
        <f>SUMIF($E$4:$E$155,"310",$AU$4:$AU$155)</f>
        <v>0</v>
      </c>
      <c r="AV193" s="27">
        <f>SUMIF($E$4:$E$184,"310",$AV$4:$AV$184)</f>
        <v>0</v>
      </c>
      <c r="AW193" s="27">
        <f>SUMIF($E$4:$E$184,"310",$AW$4:$AW$184)</f>
        <v>0</v>
      </c>
      <c r="AX193" s="27">
        <f>SUMIF($E$4:$E$184,"310",$AX$4:$AX$184)</f>
        <v>0</v>
      </c>
      <c r="AY193" s="27">
        <f>SUMIF($E$4:$E$186,"310",$AY$4:$AY$186)</f>
        <v>0</v>
      </c>
      <c r="AZ193" s="27">
        <f>SUMIF($E$4:$E$184,"310",$AZ$4:$AZ$184)</f>
        <v>273344421</v>
      </c>
      <c r="BA193" s="27">
        <f>SUMIF($E$4:$E$184,"310",$BA$4:$BA$184)</f>
        <v>0</v>
      </c>
      <c r="BB193" s="27">
        <f>SUMIF($E$4:$E$184,"310",$BB$4:$BB$184)</f>
        <v>0</v>
      </c>
      <c r="BC193" s="27">
        <f>SUMIF($E$4:$E$184,"310",$BC$4:$BC$184)</f>
        <v>0</v>
      </c>
      <c r="BD193" s="27">
        <f>SUMIF($E$4:$E$186,"310",$BD$4:$BD$186)</f>
        <v>104754141</v>
      </c>
      <c r="BE193" s="16">
        <f t="shared" si="336"/>
        <v>0.43066509316645074</v>
      </c>
      <c r="BF193" s="24">
        <f t="shared" si="337"/>
        <v>561696319</v>
      </c>
      <c r="BG193" s="22">
        <f>SUMIF($E$4:$E$184,"310",$BG$4:$BG$184)</f>
        <v>0</v>
      </c>
      <c r="BH193" s="22">
        <f>SUMIF($E$4:$E$184,"310",$BH$4:$BH$184)</f>
        <v>0</v>
      </c>
      <c r="BI193" s="22">
        <f>SUMIF($E$4:$E$184,"310",$BI$4:$BI$184)</f>
        <v>0</v>
      </c>
      <c r="BJ193" s="22">
        <f>SUMIF($E$4:$E$186,"310",$BJ$4:$BJ$186)</f>
        <v>0</v>
      </c>
      <c r="BK193" s="22">
        <f>SUMIF($E$4:$E$186,"310",$BK$4:$BK$186)</f>
        <v>0</v>
      </c>
      <c r="BL193" s="22">
        <f>SUMIF($E$4:$E$186,"310",$BL$4:$BL$186)</f>
        <v>235222372</v>
      </c>
      <c r="BM193" s="22">
        <f>SUMIF($E$4:$E$186,"310",$BM$4:$BM$186)</f>
        <v>142304469</v>
      </c>
      <c r="BN193" s="22">
        <f>SUMIF($E$4:$E$184,"310",$BN$4:$BN$184)</f>
        <v>0</v>
      </c>
      <c r="BO193" s="22">
        <f>SUMIF($E$4:$E$184,"310",$BO$4:$BO$184)</f>
        <v>0</v>
      </c>
      <c r="BP193" s="22">
        <f>SUMIF($E$4:$E$184,"310",$BP$4:$BP$184)</f>
        <v>0</v>
      </c>
      <c r="BQ193" s="22">
        <f>SUMIF($E$4:$E$184,"310",$BQ$4:$BQ$184)</f>
        <v>0</v>
      </c>
      <c r="BR193" s="22">
        <f>SUMIF($E$4:$E$184,"310",$BR$4:$BR$184)</f>
        <v>0</v>
      </c>
      <c r="BS193" s="22">
        <f>SUMIF($E$4:$E$184,"310",$BS$4:$BS$184)</f>
        <v>0</v>
      </c>
      <c r="BT193" s="22">
        <f>SUMIF($E$4:$E$184,"310",$BT$4:$BT$184)</f>
        <v>0</v>
      </c>
      <c r="BU193" s="22">
        <f>SUMIF($E$4:$E$184,"310",$BU$4:$BU$184)</f>
        <v>161000000</v>
      </c>
      <c r="BV193" s="22">
        <f>SUMIF($E$4:$E$184,"310",$BV$4:$BV$184)</f>
        <v>0</v>
      </c>
      <c r="BW193" s="22">
        <f>SUMIF($E$4:$E$184,"310",$BW$4:$BW$184)</f>
        <v>0</v>
      </c>
      <c r="BX193" s="22">
        <f>SUMIF($E$4:$E$184,"310",$BX$4:$BX$184)</f>
        <v>0</v>
      </c>
      <c r="BY193" s="22">
        <f>SUMIF($E$4:$E$184,"310",$BY$4:$BY$184)</f>
        <v>0</v>
      </c>
      <c r="BZ193" s="29">
        <f>SUMIF($E$4:$E$186,"310",$BZ$4:$BZ$186)</f>
        <v>23169478</v>
      </c>
      <c r="CA193" s="28">
        <f t="shared" si="338"/>
        <v>0.43359739576453277</v>
      </c>
      <c r="CB193" s="45">
        <f t="shared" si="339"/>
        <v>565520784</v>
      </c>
      <c r="CC193" s="27">
        <f>SUMIF($E$4:$E$186,"310",$CC$4:$CC$186)</f>
        <v>0</v>
      </c>
      <c r="CD193" s="27">
        <f>SUMIF($E$4:$E$184,"310",$CD$4:$CD$184)</f>
        <v>0</v>
      </c>
      <c r="CE193" s="27">
        <f>SUMIF($E$4:$E$184,"310",$CE$4:$CE$184)</f>
        <v>0</v>
      </c>
      <c r="CF193" s="27">
        <f>SUMIF($E$4:$E$184,"310",$CF$4:$CF$184)</f>
        <v>0</v>
      </c>
      <c r="CG193" s="27">
        <f>SUMIF($E$4:$E$186,"310",$CG$4:$CG$186)</f>
        <v>0</v>
      </c>
      <c r="CH193" s="27">
        <f>SUMIF($E$4:$E$186,"310",$CH$4:$CH$186)</f>
        <v>182755378</v>
      </c>
      <c r="CI193" s="27">
        <f>SUMIF($E$4:$E$186,"310",$CI$4:$CI$186)</f>
        <v>171931109</v>
      </c>
      <c r="CJ193" s="27">
        <f>SUMIF($E$4:$E$186,"310",$CJ$4:$CJ$186)</f>
        <v>0</v>
      </c>
      <c r="CK193" s="27">
        <f>SUMIF($E$4:$E$184,"310",$CK$4:$CK$184)</f>
        <v>0</v>
      </c>
      <c r="CL193" s="27">
        <f>SUMIF($E$4:$E$184,"310",$CL$4:$CL$184)</f>
        <v>0</v>
      </c>
      <c r="CM193" s="27">
        <f>SUMIF($E$4:$E$184,"310",$CM$4:$CM$184)</f>
        <v>0</v>
      </c>
      <c r="CN193" s="27">
        <f>SUMIF($E$4:$E$184,"310",$CN$4:$CN$184)</f>
        <v>0</v>
      </c>
      <c r="CO193" s="27">
        <f>SUMIF($E$4:$E$184,"310",$CO$4:$CO$184)</f>
        <v>0</v>
      </c>
      <c r="CP193" s="27">
        <f>SUMIF($E$4:$E$184,"310",$CP$4:$CP$184)</f>
        <v>0</v>
      </c>
      <c r="CQ193" s="27">
        <f>SUMIF($E$4:$E$184,"310",$CQ$4:$CQ$184)</f>
        <v>0</v>
      </c>
      <c r="CR193" s="27">
        <f>SUMIF($E$4:$E$186,"310",$CR$4:$CR$186)</f>
        <v>158967073</v>
      </c>
      <c r="CS193" s="27">
        <f>SUMIF($E$4:$E$184,"310",$CS$4:$CS$184)</f>
        <v>0</v>
      </c>
      <c r="CT193" s="27">
        <f>SUMIF($E$4:$E$184,"310",$CT$4:$CT$184)</f>
        <v>0</v>
      </c>
      <c r="CU193" s="27">
        <f>SUMIF($E$4:$E$184,"310",$CU$4:$CU$184)</f>
        <v>0</v>
      </c>
      <c r="CV193" s="26">
        <f>SUMIF($E$4:$E$186,"310",$CV$4:$CV$186)</f>
        <v>51867224</v>
      </c>
      <c r="CW193" s="25">
        <f t="shared" si="340"/>
        <v>0.56640260423546729</v>
      </c>
      <c r="CX193" s="24">
        <f t="shared" si="341"/>
        <v>738732400</v>
      </c>
      <c r="CY193" s="23">
        <f>SUMIF($E$4:$E$186,"310",$CY$4:$CY$186)</f>
        <v>0</v>
      </c>
      <c r="CZ193" s="22">
        <f>SUMIF($E$4:$E$184,"310",$CZ$4:$CZ$184)</f>
        <v>0</v>
      </c>
      <c r="DA193" s="22">
        <f>SUMIF($E$4:$E$186,"310",$DA$4:$DA$186)</f>
        <v>0</v>
      </c>
      <c r="DB193" s="22">
        <f>SUMIF($E$4:$E$186,"310",$DB$4:$DB$186)</f>
        <v>0</v>
      </c>
      <c r="DC193" s="22">
        <f>SUMIF($E$4:$E$186,"310",$DC$4:$DC$186)</f>
        <v>0</v>
      </c>
      <c r="DD193" s="22">
        <f>SUMIF($E$4:$E$186,"310",$DD$4:$DD$186)</f>
        <v>237244622</v>
      </c>
      <c r="DE193" s="22">
        <f>SUMIF($E$4:$E$186,"310",$DE$4:$DE$186)</f>
        <v>150054035</v>
      </c>
      <c r="DF193" s="22">
        <f>SUMIF($E$4:$E$186,"310",$DF$4:$DF$186)</f>
        <v>0</v>
      </c>
      <c r="DG193" s="21">
        <f>SUMIF($E$4:$E$184,"310",$DG$4:$DG$184)</f>
        <v>0</v>
      </c>
      <c r="DH193" s="21">
        <f>SUMIF($E$4:$E$184,"310",$DH$4:$DH$184)</f>
        <v>0</v>
      </c>
      <c r="DI193" s="21">
        <f>SUMIF($E$4:$E$186,"310",$DI$4:$DI$186)</f>
        <v>0</v>
      </c>
      <c r="DJ193" s="21">
        <f>SUMIF($E$4:$E$184,"310",$DJ$4:$DJ$184)</f>
        <v>0</v>
      </c>
      <c r="DK193" s="21">
        <f>SUMIF($E$4:$E$184,"310",$DK$4:$DK$184)</f>
        <v>0</v>
      </c>
      <c r="DL193" s="21">
        <f>SUMIF($E$4:$E$186,"310",$DL$4:$DL$186)</f>
        <v>0</v>
      </c>
      <c r="DM193" s="21">
        <f>SUMIF($E$4:$E$186,"310",$DM$4:$DM$186)</f>
        <v>161000000</v>
      </c>
      <c r="DN193" s="21">
        <f>SUMIF($E$4:$E$186,"310",$DN$4:$DN$186)</f>
        <v>114377348</v>
      </c>
      <c r="DO193" s="21">
        <f>SUMIF($E$4:$E$184,"310",$DO$4:$DO$184)</f>
        <v>0</v>
      </c>
      <c r="DP193" s="21">
        <f>SUMIF($E$4:$E$184,"310",$DP$4:$DP$184)</f>
        <v>0</v>
      </c>
      <c r="DQ193" s="21">
        <f>SUMIF($E$4:$E$184,"310",$DQ$4:$DQ$184)</f>
        <v>0</v>
      </c>
      <c r="DR193" s="21">
        <f>SUMIF($E$4:$E$186,"310",$DR$4:$DR$186)</f>
        <v>76056395</v>
      </c>
    </row>
    <row r="194" spans="3:122" x14ac:dyDescent="0.25">
      <c r="C194" s="36"/>
      <c r="D194" s="35" t="s">
        <v>6</v>
      </c>
      <c r="E194" s="44">
        <v>410</v>
      </c>
      <c r="F194" s="32"/>
      <c r="G194" s="19">
        <f>SUMIF($E$4:$E$186,"410",$G$4:$G$186)</f>
        <v>4593000000</v>
      </c>
      <c r="H194" s="19">
        <f>SUMIF($E$4:$E$186,"410",$H$4:$H$186)</f>
        <v>3115857051</v>
      </c>
      <c r="I194" s="19">
        <f>SUMIF($E$4:$E$186,"410",$I$4:$I$186)</f>
        <v>3366660918</v>
      </c>
      <c r="J194" s="32"/>
      <c r="K194" s="32"/>
      <c r="L194" s="32"/>
      <c r="M194" s="27">
        <f>SUMIF($E$4:$E$186,"410",$M$4:$M$186)</f>
        <v>6482517969</v>
      </c>
      <c r="N194" s="27">
        <f>SUMIF($E$4:$E$186,"410",$N$4:$N$186)</f>
        <v>0</v>
      </c>
      <c r="O194" s="33">
        <f>SUMIF($E$4:$E$184,"410",$O$4:$O$184)</f>
        <v>134533656</v>
      </c>
      <c r="P194" s="33">
        <f>SUMIF($E$4:$E$187,"410",$P$4:$P$187)</f>
        <v>396726534</v>
      </c>
      <c r="Q194" s="33">
        <f>SUMIF($E$4:$E$187,"410",$Q$4:$Q$187)</f>
        <v>775722031</v>
      </c>
      <c r="R194" s="27">
        <f>SUMIF($E$4:$E$186,"410",$R$4:$R$186)</f>
        <v>0</v>
      </c>
      <c r="S194" s="32">
        <f>SUMIF($E$4:$E$184,"410",$S$4:$S$184)</f>
        <v>544180877</v>
      </c>
      <c r="T194" s="32">
        <f>SUMIF($E$4:$E$184,"410",$T$4:$T$184)</f>
        <v>55000000</v>
      </c>
      <c r="U194" s="32">
        <f>SUMIF($E$4:$E$184,"410",$U$4:$U$184)</f>
        <v>102810569</v>
      </c>
      <c r="V194" s="32">
        <f>SUMIF($E$4:$E$184,"410",$V$4:$V$184)</f>
        <v>219471348</v>
      </c>
      <c r="W194" s="32">
        <f>SUMIF($E$4:$E$184,"410",$W$4:$W$184)</f>
        <v>0</v>
      </c>
      <c r="X194" s="32">
        <f>SUMIF($E$4:$E$184,"410",$X$4:$X$184)</f>
        <v>0</v>
      </c>
      <c r="Y194" s="32">
        <f>SUMIF($E$4:$E$184,"410",$Y$4:$Y$184)</f>
        <v>0</v>
      </c>
      <c r="Z194" s="32">
        <f>SUMIF($E$4:$E$184,"410",$Z$4:$Z$184)</f>
        <v>3504013680</v>
      </c>
      <c r="AA194" s="32">
        <f>SUMIF($E$4:$E$184,"410",$AA$4:$AA$184)</f>
        <v>78609139</v>
      </c>
      <c r="AB194" s="32">
        <f>SUMIF($E$4:$E$184,"410",$AB$4:$AB$184)</f>
        <v>251718083</v>
      </c>
      <c r="AC194" s="32">
        <f>SUMIF($E$4:$E$155,"410",$AC$4:$AC$155)</f>
        <v>261973650</v>
      </c>
      <c r="AD194" s="32">
        <f>SUMIF($E$4:$E$155,"410",$AD$4:$AD$155)</f>
        <v>0</v>
      </c>
      <c r="AE194" s="32">
        <f>SUMIF($E$4:$E$184,"410",$AE$4:$AE$184)</f>
        <v>80844085</v>
      </c>
      <c r="AF194" s="32">
        <f>SUMIF($E$4:$E$184,"410",$AF$4:$AF$184)</f>
        <v>0</v>
      </c>
      <c r="AG194" s="32">
        <f>SUMIF($E$4:$E$186,"410",$AG$4:$AG$186)</f>
        <v>76914317</v>
      </c>
      <c r="AI194" s="31">
        <f t="shared" si="334"/>
        <v>0.81929652943473397</v>
      </c>
      <c r="AJ194" s="30">
        <f t="shared" si="335"/>
        <v>5311104474</v>
      </c>
      <c r="AK194" s="27">
        <f>SUMIF($E$4:$E$184,"410",$AK$4:$AK$184)</f>
        <v>0</v>
      </c>
      <c r="AL194" s="27">
        <f>SUMIF($E$4:$E$186,"410",$AL$4:$AL$186)</f>
        <v>133268976</v>
      </c>
      <c r="AM194" s="27">
        <f>SUMIF($E$4:$E$186,"410",$AM$4:$AM$186)</f>
        <v>396726534</v>
      </c>
      <c r="AN194" s="27">
        <f>SUMIF($E$4:$E$186,"410",$AN$4:$AN$186)</f>
        <v>775722031</v>
      </c>
      <c r="AO194" s="27">
        <f>SUMIF($E$4:$E$184,"410",$AO$4:$AO$184)</f>
        <v>0</v>
      </c>
      <c r="AP194" s="27">
        <f>SUMIF($E$4:$E$184,"410",$AP$4:$AP$184)</f>
        <v>544180877</v>
      </c>
      <c r="AQ194" s="27">
        <f>SUMIF($E$4:$E$186,"410",$AQ$4:$AQ$186)</f>
        <v>55000000</v>
      </c>
      <c r="AR194" s="27">
        <f>SUMIF($E$4:$E$186,"410",$AR$4:$AR$186)</f>
        <v>102810569</v>
      </c>
      <c r="AS194" s="27">
        <f>SUMIF($E$4:$E$184,"410",$AS$4:$AS$184)</f>
        <v>219471348</v>
      </c>
      <c r="AT194" s="27">
        <f>SUMIF($E$4:$E$184,"410",$AT$4:$AT$184)</f>
        <v>0</v>
      </c>
      <c r="AU194" s="27">
        <f>SUMIF($E$4:$E$155,"410",$AU$4:$AU$155)</f>
        <v>0</v>
      </c>
      <c r="AV194" s="27">
        <f>SUMIF($E$4:$E$184,"410",$AV$4:$AV$184)</f>
        <v>0</v>
      </c>
      <c r="AW194" s="27">
        <f>SUMIF($E$4:$E$184,"410",$AW$4:$AW$184)</f>
        <v>2385795017</v>
      </c>
      <c r="AX194" s="27">
        <f>SUMIF($E$4:$E$184,"410",$AX$4:$AX$184)</f>
        <v>68609139</v>
      </c>
      <c r="AY194" s="27">
        <f>SUMIF($E$4:$E$186,"410",$AY$4:$AY$186)</f>
        <v>235765054</v>
      </c>
      <c r="AZ194" s="27">
        <f>SUMIF($E$4:$E$184,"410",$AZ$4:$AZ$184)</f>
        <v>261973590</v>
      </c>
      <c r="BA194" s="27">
        <f>SUMIF($E$4:$E$184,"410",$BA$4:$BA$184)</f>
        <v>0</v>
      </c>
      <c r="BB194" s="27">
        <f>SUMIF($E$4:$E$184,"410",$BB$4:$BB$184)</f>
        <v>80844085</v>
      </c>
      <c r="BC194" s="27">
        <f>SUMIF($E$4:$E$184,"410",$BC$4:$BC$184)</f>
        <v>0</v>
      </c>
      <c r="BD194" s="27">
        <f>SUMIF($E$4:$E$186,"410",$BD$4:$BD$186)</f>
        <v>50937254</v>
      </c>
      <c r="BE194" s="16">
        <f t="shared" si="336"/>
        <v>0.18070347056526603</v>
      </c>
      <c r="BF194" s="24">
        <f t="shared" si="337"/>
        <v>1171413495</v>
      </c>
      <c r="BG194" s="22">
        <f>SUMIF($E$4:$E$184,"410",$BG$4:$BG$184)</f>
        <v>0</v>
      </c>
      <c r="BH194" s="22">
        <f>SUMIF($E$4:$E$184,"410",$BH$4:$BH$184)</f>
        <v>1264680</v>
      </c>
      <c r="BI194" s="22">
        <f>SUMIF($E$4:$E$184,"410",$BI$4:$BI$184)</f>
        <v>0</v>
      </c>
      <c r="BJ194" s="22">
        <f>SUMIF($E$4:$E$186,"410",$BJ$4:$BJ$186)</f>
        <v>0</v>
      </c>
      <c r="BK194" s="22">
        <f>SUMIF($E$4:$E$186,"410",$BK$4:$BK$186)</f>
        <v>0</v>
      </c>
      <c r="BL194" s="22">
        <f>SUMIF($E$4:$E$186,"410",$BL$4:$BL$186)</f>
        <v>0</v>
      </c>
      <c r="BM194" s="22">
        <f>SUMIF($E$4:$E$184,"410",$BM$4:$BM$184)</f>
        <v>0</v>
      </c>
      <c r="BN194" s="22">
        <f>SUMIF($E$4:$E$184,"410",$BN$4:$BN$184)</f>
        <v>0</v>
      </c>
      <c r="BO194" s="22">
        <f>SUMIF($E$4:$E$184,"410",$BO$4:$BO$184)</f>
        <v>0</v>
      </c>
      <c r="BP194" s="22">
        <f>SUMIF($E$4:$E$184,"410",$BP$4:$BP$184)</f>
        <v>0</v>
      </c>
      <c r="BQ194" s="22">
        <f>SUMIF($E$4:$E$184,"410",$BQ$4:$BQ$184)</f>
        <v>0</v>
      </c>
      <c r="BR194" s="22">
        <f>SUMIF($E$4:$E$184,"410",$BR$4:$BR$184)</f>
        <v>0</v>
      </c>
      <c r="BS194" s="22">
        <f>SUMIF($E$4:$E$184,"410",$BS$4:$BS$184)</f>
        <v>1118218663</v>
      </c>
      <c r="BT194" s="22">
        <f>SUMIF($E$4:$E$184,"410",$BT$4:$BT$184)</f>
        <v>10000000</v>
      </c>
      <c r="BU194" s="22">
        <f>SUMIF($E$4:$E$184,"410",$BU$4:$BU$184)</f>
        <v>15953029</v>
      </c>
      <c r="BV194" s="22">
        <f>SUMIF($E$4:$E$184,"410",$BV$4:$BV$184)</f>
        <v>60</v>
      </c>
      <c r="BW194" s="22">
        <f>SUMIF($E$4:$E$184,"510",$BW$4:$BW$184)</f>
        <v>0</v>
      </c>
      <c r="BX194" s="22">
        <f>SUMIF($E$4:$E$184,"410",$BX$4:$BX$184)</f>
        <v>0</v>
      </c>
      <c r="BY194" s="22">
        <f>SUMIF($E$4:$E$184,"410",$BY$4:$BY$184)</f>
        <v>0</v>
      </c>
      <c r="BZ194" s="29">
        <f>SUMIF($E$4:$E$186,"410",$BZ$4:$BZ$186)</f>
        <v>25977063</v>
      </c>
      <c r="CA194" s="28">
        <f t="shared" si="338"/>
        <v>0.48065536661839064</v>
      </c>
      <c r="CB194" s="24">
        <f t="shared" si="339"/>
        <v>3115857051</v>
      </c>
      <c r="CC194" s="27">
        <f>SUMIF($E$4:$E$186,"410",$CC$4:$CC$186)</f>
        <v>0</v>
      </c>
      <c r="CD194" s="27">
        <f>SUMIF($E$4:$E$184,"410",$CD$4:$CD$184)</f>
        <v>133268976</v>
      </c>
      <c r="CE194" s="27">
        <f>SUMIF($E$4:$E$184,"410",$CE$4:$CE$184)</f>
        <v>396726534</v>
      </c>
      <c r="CF194" s="27">
        <f>SUMIF($E$4:$E$184,"410",$CF$4:$CF$184)</f>
        <v>560309881</v>
      </c>
      <c r="CG194" s="27">
        <f>SUMIF($E$4:$E$186,"410",$CG$4:$CG$186)</f>
        <v>0</v>
      </c>
      <c r="CH194" s="27">
        <f>SUMIF($E$4:$E$184,"410",$CH$4:$CH$184)</f>
        <v>373292464</v>
      </c>
      <c r="CI194" s="27">
        <f>SUMIF($E$4:$E$184,"410",$CI$4:$CI$184)</f>
        <v>36214247</v>
      </c>
      <c r="CJ194" s="27">
        <f>SUMIF($E$4:$E$186,"410",$CJ$4:$CJ$186)</f>
        <v>102810569</v>
      </c>
      <c r="CK194" s="27">
        <f>SUMIF($E$4:$E$184,"410",$CK$4:$CK$184)</f>
        <v>127534316</v>
      </c>
      <c r="CL194" s="27">
        <f>SUMIF($E$4:$E$184,"410",$CL$4:$CL$184)</f>
        <v>0</v>
      </c>
      <c r="CM194" s="27">
        <f>SUMIF($E$4:$E$184,"410",$CM$4:$CM$184)</f>
        <v>0</v>
      </c>
      <c r="CN194" s="27">
        <f>SUMIF($E$4:$E$184,"410",$CN$4:$CN$184)</f>
        <v>0</v>
      </c>
      <c r="CO194" s="27">
        <f>SUMIF($E$4:$E$184,"410",$CO$4:$CO$184)</f>
        <v>1103661099</v>
      </c>
      <c r="CP194" s="27">
        <f>SUMIF($E$4:$E$184,"410",$CP$4:$CP$184)</f>
        <v>48706082</v>
      </c>
      <c r="CQ194" s="27">
        <f>SUMIF($E$4:$E$184,"410",$CQ$4:$CQ$184)</f>
        <v>136779453</v>
      </c>
      <c r="CR194" s="27">
        <f>SUMIF($E$4:$E$184,"410",$CR$4:$CR$184)</f>
        <v>56878541</v>
      </c>
      <c r="CS194" s="27">
        <f>SUMIF($E$4:$E$184,"410",$CS$4:$CS$184)</f>
        <v>0</v>
      </c>
      <c r="CT194" s="27">
        <f>SUMIF($E$4:$E$184,"410",$CT$4:$CT$184)</f>
        <v>25815097</v>
      </c>
      <c r="CU194" s="27">
        <f>SUMIF($E$4:$E$184,"410",$CU$4:$CU$184)</f>
        <v>0</v>
      </c>
      <c r="CV194" s="26">
        <f>SUMIF($E$4:$E$184,"410",$CV$4:$CV$184)</f>
        <v>13859792</v>
      </c>
      <c r="CW194" s="25">
        <f t="shared" si="340"/>
        <v>0.51934463338160941</v>
      </c>
      <c r="CX194" s="24">
        <f t="shared" si="341"/>
        <v>3366660918</v>
      </c>
      <c r="CY194" s="23">
        <f>SUMIF($E$4:$E$186,"410",$CY$4:$CY$186)</f>
        <v>0</v>
      </c>
      <c r="CZ194" s="22">
        <f>SUMIF($E$4:$E$184,"410",$CZ$4:$CZ$184)</f>
        <v>1264680</v>
      </c>
      <c r="DA194" s="22">
        <f>SUMIF($E$4:$E$186,"410",$DA$4:$DA$186)</f>
        <v>0</v>
      </c>
      <c r="DB194" s="22">
        <f>SUMIF($E$4:$E$186,"410",$DB$4:$DB$186)</f>
        <v>215412150</v>
      </c>
      <c r="DC194" s="22">
        <f>SUMIF($E$4:$E$186,"410",$DC$4:$DC$186)</f>
        <v>0</v>
      </c>
      <c r="DD194" s="22">
        <f>SUMIF($E$4:$E$186,"410",$DD$4:$DD$186)</f>
        <v>170888413</v>
      </c>
      <c r="DE194" s="22">
        <f>SUMIF($E$4:$E$186,"410",$DE$4:$DE$186)</f>
        <v>18785753</v>
      </c>
      <c r="DF194" s="22">
        <f>SUMIF($E$4:$E$186,"410",$DF$4:$DF$186)</f>
        <v>0</v>
      </c>
      <c r="DG194" s="21">
        <f>SUMIF($E$4:$E$184,"410",$DG$4:$DG$184)</f>
        <v>91937032</v>
      </c>
      <c r="DH194" s="21">
        <f>SUMIF($E$4:$E$184,"410",$DH$4:$DH$184)</f>
        <v>0</v>
      </c>
      <c r="DI194" s="21">
        <f>SUMIF($E$4:$E$186,"410",$DI$4:$DI$186)</f>
        <v>0</v>
      </c>
      <c r="DJ194" s="21">
        <f>SUMIF($E$4:$E$184,"410",$DJ$4:$DJ$184)</f>
        <v>0</v>
      </c>
      <c r="DK194" s="21">
        <f>SUMIF($E$4:$E$184,"410",$DK$4:$DK$184)</f>
        <v>2400352581</v>
      </c>
      <c r="DL194" s="21">
        <f>SUMIF($E$4:$E$186,"410",$DL$4:$DL$186)</f>
        <v>29903057</v>
      </c>
      <c r="DM194" s="21">
        <f>SUMIF($E$4:$E$186,"410",$DM$4:$DM$186)</f>
        <v>114938630</v>
      </c>
      <c r="DN194" s="21">
        <f>SUMIF($E$4:$E$184,"410",$DN$4:$DN$184)</f>
        <v>205095109</v>
      </c>
      <c r="DO194" s="21">
        <f>SUMIF($E$4:$E$184,"410",$DO$4:$DO$184)</f>
        <v>0</v>
      </c>
      <c r="DP194" s="21">
        <f>SUMIF($E$4:$E$184,"410",$DP$4:$DP$184)</f>
        <v>55028988</v>
      </c>
      <c r="DQ194" s="21">
        <f>SUMIF($E$4:$E$184,"410",$DQ$4:$DQ$184)</f>
        <v>0</v>
      </c>
      <c r="DR194" s="21">
        <f>SUMIF($E$4:$E$186,"410",$DR$4:$DR$186)</f>
        <v>63054525</v>
      </c>
    </row>
    <row r="195" spans="3:122" ht="14.25" customHeight="1" x14ac:dyDescent="0.25">
      <c r="C195" s="36"/>
      <c r="D195" s="35" t="s">
        <v>5</v>
      </c>
      <c r="E195" s="44">
        <v>510</v>
      </c>
      <c r="F195" s="32"/>
      <c r="G195" s="19">
        <f>SUMIF($E$4:$E$186,"510",$G$4:$G$186)</f>
        <v>1300000000</v>
      </c>
      <c r="H195" s="19">
        <f>SUMIF($E$4:$E$186,"510",$H$4:$H$186)</f>
        <v>719562117</v>
      </c>
      <c r="I195" s="19">
        <f>SUMIF($E$4:$E$186,"510",$I$4:$I$186)</f>
        <v>711137883</v>
      </c>
      <c r="J195" s="32"/>
      <c r="K195" s="32"/>
      <c r="L195" s="32"/>
      <c r="M195" s="27">
        <f>SUMIF($E$4:$E$186,"510",$M$4:$M$186)</f>
        <v>1430700000</v>
      </c>
      <c r="N195" s="27">
        <f>SUMIF($E$4:$E$186,"510",$N$4:$N$186)</f>
        <v>0</v>
      </c>
      <c r="O195" s="33">
        <f>SUMIF($E$4:$E$184,"510",$O$4:$O$184)</f>
        <v>0</v>
      </c>
      <c r="P195" s="33">
        <f>SUMIF($E$4:$E$187,"510",$P$4:$P$187)</f>
        <v>0</v>
      </c>
      <c r="Q195" s="33">
        <f>SUMIF($E$4:$E$187,"510",$Q$4:$Q$187)</f>
        <v>0</v>
      </c>
      <c r="R195" s="27">
        <f>SUMIF($E$4:$E$186,"510",$R$4:$R$186)</f>
        <v>0</v>
      </c>
      <c r="S195" s="32">
        <f>SUMIF($E$4:$E$184,"510",$S$4:$S$184)</f>
        <v>670000000</v>
      </c>
      <c r="T195" s="32">
        <f>SUMIF($E$4:$E$184,"510",$T$4:$T$184)</f>
        <v>0</v>
      </c>
      <c r="U195" s="32">
        <f>SUMIF($E$4:$E$184,"510",$U$4:$U$184)</f>
        <v>0</v>
      </c>
      <c r="V195" s="32">
        <f>SUMIF($E$4:$E$184,"510",$V$4:$V$184)</f>
        <v>0</v>
      </c>
      <c r="W195" s="32">
        <f>SUMIF($E$4:$E$184,"510",$W$4:$W$184)</f>
        <v>0</v>
      </c>
      <c r="X195" s="32">
        <f>SUMIF($E$4:$E$184,"510",$X$4:$X$184)</f>
        <v>0</v>
      </c>
      <c r="Y195" s="32">
        <f>SUMIF($E$4:$E$184,"510",$Y$4:$Y$184)</f>
        <v>0</v>
      </c>
      <c r="Z195" s="32">
        <f>SUMIF($E$4:$E$184,"510",$Z$4:$Z$184)</f>
        <v>0</v>
      </c>
      <c r="AA195" s="32">
        <f>SUMIF($E$4:$E$184,"510",$AA$4:$AA$184)</f>
        <v>270000000</v>
      </c>
      <c r="AB195" s="32">
        <f>SUMIF($E$4:$E$184,"510",$AB$4:$AB$184)</f>
        <v>150000000</v>
      </c>
      <c r="AC195" s="32">
        <f>SUMIF($E$4:$E$184,"510",$AC$4:$AC$184)</f>
        <v>239500000</v>
      </c>
      <c r="AD195" s="32">
        <f>SUMIF($E$4:$E$155,"510",$AD$4:$AD$155)</f>
        <v>0</v>
      </c>
      <c r="AE195" s="32">
        <f>SUMIF($E$4:$E$184,"510",$AE$4:$AE$184)</f>
        <v>0</v>
      </c>
      <c r="AF195" s="32">
        <f>SUMIF($E$4:$E$184,"510",$AF$4:$AF$184)</f>
        <v>0</v>
      </c>
      <c r="AG195" s="32">
        <f>SUMIF($E$4:$E$186,"510",$AG$4:$AG$186)</f>
        <v>101200000</v>
      </c>
      <c r="AI195" s="31">
        <f t="shared" si="334"/>
        <v>0.63691378136576504</v>
      </c>
      <c r="AJ195" s="30">
        <f t="shared" si="335"/>
        <v>911232547</v>
      </c>
      <c r="AK195" s="27">
        <f>SUMIF($E$4:$E$184,"510",$AK$4:$AK$184)</f>
        <v>0</v>
      </c>
      <c r="AL195" s="27">
        <f>SUMIF($E$4:$E$186,"510",$AL$4:$AL$186)</f>
        <v>0</v>
      </c>
      <c r="AM195" s="27">
        <f>SUMIF($E$4:$E$186,"510",$AM$4:$AM$186)</f>
        <v>0</v>
      </c>
      <c r="AN195" s="27">
        <f>SUMIF($E$4:$E$186,"510",$AN$4:$AN$186)</f>
        <v>0</v>
      </c>
      <c r="AO195" s="27">
        <f>SUMIF($E$4:$E$184,"510",$AO$4:$AO$184)</f>
        <v>0</v>
      </c>
      <c r="AP195" s="27">
        <f>SUMIF($E$4:$E$184,"510",$AP$4:$AP$184)</f>
        <v>370867951</v>
      </c>
      <c r="AQ195" s="27">
        <f>SUMIF($E$4:$E$186,"510",$AQ$4:$AQ$186)</f>
        <v>0</v>
      </c>
      <c r="AR195" s="27">
        <f>SUMIF($E$4:$E$186,"510",$AR$4:$AR$186)</f>
        <v>0</v>
      </c>
      <c r="AS195" s="27">
        <f>SUMIF($E$4:$E$184,"510",$AS$4:$AS$184)</f>
        <v>0</v>
      </c>
      <c r="AT195" s="27">
        <f>SUMIF($E$4:$E$184,"510",$AT$4:$AT$184)</f>
        <v>0</v>
      </c>
      <c r="AU195" s="27">
        <f>SUMIF($E$4:$E$155,"510",$AU$4:$AU$155)</f>
        <v>0</v>
      </c>
      <c r="AV195" s="27">
        <f>SUMIF($E$4:$E$184,"510",$AV$4:$AV$184)</f>
        <v>0</v>
      </c>
      <c r="AW195" s="27">
        <f>SUMIF($E$4:$E$184,"510",$AW$4:$AW$184)</f>
        <v>0</v>
      </c>
      <c r="AX195" s="27">
        <f>SUMIF($E$4:$E$184,"510",$AX$4:$AX$184)</f>
        <v>126214863</v>
      </c>
      <c r="AY195" s="27">
        <f>SUMIF($E$4:$E$186,"510",$AY$4:$AY$186)</f>
        <v>109649906</v>
      </c>
      <c r="AZ195" s="27">
        <f>SUMIF($E$4:$E$184,"510",$AZ$4:$AZ$184)</f>
        <v>227203720</v>
      </c>
      <c r="BA195" s="27">
        <f>SUMIF($E$4:$E$184,"510",$BA$4:$BA$184)</f>
        <v>0</v>
      </c>
      <c r="BB195" s="27">
        <f>SUMIF($E$4:$E$184,"510",$BB$4:$BB$184)</f>
        <v>0</v>
      </c>
      <c r="BC195" s="27">
        <f>SUMIF($E$4:$E$184," 510",$BC$4:$BC$184)</f>
        <v>0</v>
      </c>
      <c r="BD195" s="27">
        <f>SUMIF($E$4:$E$186,"510",$BD$4:$BD$186)</f>
        <v>77296107</v>
      </c>
      <c r="BE195" s="16">
        <f t="shared" si="336"/>
        <v>0.36308621863423496</v>
      </c>
      <c r="BF195" s="24">
        <f t="shared" si="337"/>
        <v>519467453</v>
      </c>
      <c r="BG195" s="22">
        <f>SUMIF($E$4:$E$184,"510",$BG$4:$BG$184)</f>
        <v>0</v>
      </c>
      <c r="BH195" s="22">
        <f>SUMIF($E$4:$E$184,"510",$BH$4:$BH$184)</f>
        <v>0</v>
      </c>
      <c r="BI195" s="22">
        <f>SUMIF($E$4:$E$184,"510",$BI$4:$BI$184)</f>
        <v>0</v>
      </c>
      <c r="BJ195" s="22">
        <f>SUMIF($E$4:$E$186,"510",$BJ$4:$BJ$186)</f>
        <v>0</v>
      </c>
      <c r="BK195" s="22">
        <f>SUMIF($E$4:$E$186,"510",$BK$4:$BK$186)</f>
        <v>0</v>
      </c>
      <c r="BL195" s="22">
        <f>SUMIF($E$4:$E$186,"510",$BL$4:$BL$186)</f>
        <v>299132049</v>
      </c>
      <c r="BM195" s="22">
        <f>SUMIF($E$4:$E$184,"510",$BM$4:$BM$184)</f>
        <v>0</v>
      </c>
      <c r="BN195" s="22">
        <f>SUMIF($E$4:$E$184,"510",$BN$4:$BN$184)</f>
        <v>0</v>
      </c>
      <c r="BO195" s="22">
        <f>SUMIF($E$4:$E$184,"510",$BO$4:$BO$184)</f>
        <v>0</v>
      </c>
      <c r="BP195" s="22">
        <f>SUMIF($E$4:$E$184,"510",$BP$4:$BP$184)</f>
        <v>0</v>
      </c>
      <c r="BQ195" s="22">
        <f>SUMIF($E$4:$E$184,"510",$BQ$4:$BQ$184)</f>
        <v>0</v>
      </c>
      <c r="BR195" s="22">
        <f>SUMIF($E$4:$E$184,"510",$BR$4:$BR$184)</f>
        <v>0</v>
      </c>
      <c r="BS195" s="22">
        <f>SUMIF($E$4:$E$184,"510",$BS$4:$BS$184)</f>
        <v>0</v>
      </c>
      <c r="BT195" s="22">
        <f>SUMIF($E$4:$E$184,"510",$BT$4:$BT$184)</f>
        <v>143785137</v>
      </c>
      <c r="BU195" s="22">
        <f>SUMIF($E$4:$E$184,"510",$BU$4:$BU$184)</f>
        <v>40350094</v>
      </c>
      <c r="BV195" s="22">
        <f>SUMIF($E$4:$E$184,"510",$BV$4:$BV$184)</f>
        <v>12296280</v>
      </c>
      <c r="BW195" s="22">
        <f>SUMIF($E$4:$E$184,"520",$BW$4:$BW$184)</f>
        <v>0</v>
      </c>
      <c r="BX195" s="22">
        <f>SUMIF($E$4:$E$184,"510",$BX$4:$BX$184)</f>
        <v>0</v>
      </c>
      <c r="BY195" s="22">
        <f>SUMIF($E$4:$E$184,"510",$BY$4:$BY$184)</f>
        <v>0</v>
      </c>
      <c r="BZ195" s="29">
        <f>SUMIF($E$4:$E$186,"510",$BZ$4:$BZ$186)</f>
        <v>23903893</v>
      </c>
      <c r="CA195" s="28">
        <f t="shared" si="338"/>
        <v>0.50294409519815475</v>
      </c>
      <c r="CB195" s="24">
        <f t="shared" si="339"/>
        <v>719562117</v>
      </c>
      <c r="CC195" s="27">
        <f>SUMIF($E$4:$E$186,"510",$CC$4:$CC$186)</f>
        <v>0</v>
      </c>
      <c r="CD195" s="27">
        <f>SUMIF($E$4:$E$184,"510",$CD$4:$CD$184)</f>
        <v>0</v>
      </c>
      <c r="CE195" s="27">
        <f>SUMIF($E$4:$E$184,"510",$CE$4:$CE$184)</f>
        <v>0</v>
      </c>
      <c r="CF195" s="27">
        <f>SUMIF($E$4:$E$184,"510",$CF$4:$CF$184)</f>
        <v>0</v>
      </c>
      <c r="CG195" s="27">
        <f>SUMIF($E$4:$E$186,"510",$CG$4:$CG$186)</f>
        <v>0</v>
      </c>
      <c r="CH195" s="27">
        <f>SUMIF($E$4:$E$184,"510",$CH$4:$CH$184)</f>
        <v>347263417</v>
      </c>
      <c r="CI195" s="27">
        <f>SUMIF($E$4:$E$184,"510",$CI$4:$CI$184)</f>
        <v>0</v>
      </c>
      <c r="CJ195" s="27">
        <f>SUMIF($E$4:$E$186,"510",$CJ$4:$CJ$186)</f>
        <v>0</v>
      </c>
      <c r="CK195" s="27">
        <f>SUMIF($E$4:$E$184,"510",$CK$4:$CK$184)</f>
        <v>0</v>
      </c>
      <c r="CL195" s="27">
        <f>SUMIF($E$4:$E$184,"510",$CL$4:$CL$184)</f>
        <v>0</v>
      </c>
      <c r="CM195" s="27">
        <f>SUMIF($E$4:$E$184,"510",$CM$4:$CM$184)</f>
        <v>0</v>
      </c>
      <c r="CN195" s="27">
        <f>SUMIF($E$4:$E$184,"510",$CN$4:$CN$184)</f>
        <v>0</v>
      </c>
      <c r="CO195" s="27">
        <f>SUMIF($E$4:$E$184,"510",$CO$4:$CO$184)</f>
        <v>0</v>
      </c>
      <c r="CP195" s="27">
        <f>SUMIF($E$4:$E$184,"510",$CP$4:$CP$184)</f>
        <v>72513196</v>
      </c>
      <c r="CQ195" s="27">
        <f>SUMIF($E$4:$E$184,"510",$CQ$4:$CQ$184)</f>
        <v>89853407</v>
      </c>
      <c r="CR195" s="27">
        <f>SUMIF($E$4:$E$184,"510",$CR$4:$CR$184)</f>
        <v>168347392</v>
      </c>
      <c r="CS195" s="27">
        <f>SUMIF($E$4:$E$184,"510",$CS$4:$CS$184)</f>
        <v>0</v>
      </c>
      <c r="CT195" s="27">
        <f>SUMIF($E$4:$E$184,"510",$CT$4:$CT$184)</f>
        <v>0</v>
      </c>
      <c r="CU195" s="27">
        <f>SUMIF($E$4:$E$184,"510",$CU$4:$CU$184)</f>
        <v>0</v>
      </c>
      <c r="CV195" s="26">
        <f>SUMIF($E$4:$E$184,"510",$CV$4:$CV$184)</f>
        <v>41584705</v>
      </c>
      <c r="CW195" s="25">
        <f t="shared" si="340"/>
        <v>0.49705590480184525</v>
      </c>
      <c r="CX195" s="24">
        <f t="shared" si="341"/>
        <v>711137883</v>
      </c>
      <c r="CY195" s="23">
        <f>SUMIF($E$4:$E$186,"510",$CY$4:$CY$186)</f>
        <v>0</v>
      </c>
      <c r="CZ195" s="22">
        <f>SUMIF($E$4:$E$184,"510",$CZ$4:$CZ$184)</f>
        <v>0</v>
      </c>
      <c r="DA195" s="22">
        <f>SUMIF($E$4:$E$186,"510",$DA$4:$DA$186)</f>
        <v>0</v>
      </c>
      <c r="DB195" s="22">
        <f>SUMIF($E$4:$E$186,"510",$DB$4:$DB$186)</f>
        <v>0</v>
      </c>
      <c r="DC195" s="22">
        <f>SUMIF($E$4:$E$186,"510",$DC$4:$DC$186)</f>
        <v>0</v>
      </c>
      <c r="DD195" s="22">
        <f>SUMIF($E$4:$E$186,"510",$DD$4:$DD$186)</f>
        <v>322736583</v>
      </c>
      <c r="DE195" s="22">
        <f>SUMIF($E$4:$E$186,"510",$DE$4:$DE$186)</f>
        <v>0</v>
      </c>
      <c r="DF195" s="22">
        <f>SUMIF($E$4:$E$186,"510",$DF$4:$DF$186)</f>
        <v>0</v>
      </c>
      <c r="DG195" s="21">
        <f>SUMIF($E$4:$E$184,"510",$DG$4:$DG$184)</f>
        <v>0</v>
      </c>
      <c r="DH195" s="21">
        <f>SUMIF($E$4:$E$184,"510",$DH$4:$DH$184)</f>
        <v>0</v>
      </c>
      <c r="DI195" s="21">
        <f>SUMIF($E$4:$E$186,"510",$DI$4:$DI$186)</f>
        <v>0</v>
      </c>
      <c r="DJ195" s="21">
        <f>SUMIF($E$4:$E$184,"510",$DJ$4:$DJ$184)</f>
        <v>0</v>
      </c>
      <c r="DK195" s="21">
        <f>SUMIF($E$4:$E$184,"510",$DK$4:$DK$184)</f>
        <v>0</v>
      </c>
      <c r="DL195" s="21">
        <f>SUMIF($E$4:$E$186,"510",$DL$4:$DL$186)</f>
        <v>197486804</v>
      </c>
      <c r="DM195" s="21">
        <f>SUMIF($E$4:$E$186,"510",$DM$4:$DM$186)</f>
        <v>60146593</v>
      </c>
      <c r="DN195" s="21">
        <f>SUMIF($E$4:$E$184,"510",$DN$4:$DN$184)</f>
        <v>71152608</v>
      </c>
      <c r="DO195" s="21">
        <f>SUMIF($E$4:$E$184,"510",$DO$4:$DO$184)</f>
        <v>0</v>
      </c>
      <c r="DP195" s="21">
        <f>SUMIF($E$4:$E$184,"510",$DP$4:$DP$184)</f>
        <v>0</v>
      </c>
      <c r="DQ195" s="21">
        <f>SUMIF($E$4:$E$184,"510",$DQ$4:$DQ$184)</f>
        <v>0</v>
      </c>
      <c r="DR195" s="21">
        <f>SUMIF($E$4:$E$186,"510",$DR$4:$DR$186)</f>
        <v>59615295</v>
      </c>
    </row>
    <row r="196" spans="3:122" x14ac:dyDescent="0.25">
      <c r="C196" s="36"/>
      <c r="D196" s="35" t="s">
        <v>4</v>
      </c>
      <c r="E196" s="44">
        <v>520</v>
      </c>
      <c r="F196" s="32"/>
      <c r="G196" s="19">
        <f>SUMIF($E$4:$E$186,"520",$G$4:$G$186)</f>
        <v>2832000000</v>
      </c>
      <c r="H196" s="19">
        <f>SUMIF($E$4:$E$186,"520",$H$4:$H$186)</f>
        <v>1638726933</v>
      </c>
      <c r="I196" s="19">
        <f>SUMIF($E$4:$E$186,"520",$I$4:$I$186)</f>
        <v>1319780820</v>
      </c>
      <c r="J196" s="32"/>
      <c r="K196" s="32"/>
      <c r="L196" s="32"/>
      <c r="M196" s="27">
        <f>SUMIF($E$4:$E$186,"520",$M$4:$M$186)</f>
        <v>2958507753</v>
      </c>
      <c r="N196" s="27">
        <f>SUMIF($E$4:$E$186,"520",$N$4:$N$186)</f>
        <v>0</v>
      </c>
      <c r="O196" s="33">
        <f>SUMIF($E$4:$E$184,"520",$O$4:$O$184)</f>
        <v>0</v>
      </c>
      <c r="P196" s="33">
        <f>SUMIF($E$4:$E$187,"520",$P$4:$P$187)</f>
        <v>0</v>
      </c>
      <c r="Q196" s="33">
        <f>SUMIF($E$4:$E$186,"520",$Q$4:$Q$186)</f>
        <v>50000000</v>
      </c>
      <c r="R196" s="27">
        <f>SUMIF($E$4:$E$186,"520",$R$4:$R$186)</f>
        <v>72884540</v>
      </c>
      <c r="S196" s="32">
        <f>SUMIF($E$4:$E$184,"520",$S$4:$S$184)</f>
        <v>660000000</v>
      </c>
      <c r="T196" s="32">
        <f>SUMIF($E$4:$E$184,"520",$T$4:$T$184)</f>
        <v>923014856</v>
      </c>
      <c r="U196" s="32">
        <f>SUMIF($E$4:$E$184,"520",$U$4:$U$184)</f>
        <v>0</v>
      </c>
      <c r="V196" s="32">
        <f>SUMIF($E$4:$E$184,"520",$V$4:$V$184)</f>
        <v>0</v>
      </c>
      <c r="W196" s="32">
        <f>SUMIF($E$4:$E$184,"520",$W$4:$W$184)</f>
        <v>0</v>
      </c>
      <c r="X196" s="32">
        <f>SUMIF($E$4:$E$184,"520",$X$4:$X$184)</f>
        <v>0</v>
      </c>
      <c r="Y196" s="32">
        <f>SUMIF($E$4:$E$184,"520",$Y$4:$Y$184)</f>
        <v>0</v>
      </c>
      <c r="Z196" s="32">
        <f>SUMIF($E$4:$E$184,"520",$Z$4:$Z$184)</f>
        <v>610864435</v>
      </c>
      <c r="AA196" s="32">
        <f>SUMIF($E$4:$E$184,"520",$AA$4:$AA$184)</f>
        <v>0</v>
      </c>
      <c r="AB196" s="32">
        <f>SUMIF($E$4:$E$184,"520",$AB$4:$AB$184)</f>
        <v>50000000</v>
      </c>
      <c r="AC196" s="32">
        <f>SUMIF($E$4:$E$184,"520",$AC$4:$AC$184)</f>
        <v>0</v>
      </c>
      <c r="AD196" s="32">
        <f>SUMIF($E$4:$E$155,"520",$AD$4:$AD$155)</f>
        <v>0</v>
      </c>
      <c r="AE196" s="32">
        <f>SUMIF($E$4:$E$184,"520",$AE$4:$AE$184)</f>
        <v>0</v>
      </c>
      <c r="AF196" s="32">
        <f>SUMIF($E$4:$E$184,"520",$AF$4:$AF$184)</f>
        <v>0</v>
      </c>
      <c r="AG196" s="32">
        <f>SUMIF($E$4:$E$186,"520",$AG$4:$AG$186)</f>
        <v>591743922</v>
      </c>
      <c r="AI196" s="31">
        <f t="shared" si="334"/>
        <v>0.81371961271990623</v>
      </c>
      <c r="AJ196" s="30">
        <f t="shared" si="335"/>
        <v>2407395783</v>
      </c>
      <c r="AK196" s="27">
        <f>SUMIF($E$4:$E$184,"520",$AK$4:$AK$184)</f>
        <v>0</v>
      </c>
      <c r="AL196" s="27">
        <f>SUMIF($E$4:$E$186,"520",$AL$4:$AL$186)</f>
        <v>0</v>
      </c>
      <c r="AM196" s="27">
        <f>SUMIF($E$4:$E$186,"520",$AM$4:$AM$186)</f>
        <v>0</v>
      </c>
      <c r="AN196" s="27">
        <f>SUMIF($E$4:$E$186,"520",$AN$4:$AN$186)</f>
        <v>50000000</v>
      </c>
      <c r="AO196" s="27">
        <f>SUMIF($E$4:$E$184,"520",$AO$4:$AO$184)</f>
        <v>0</v>
      </c>
      <c r="AP196" s="27">
        <f>SUMIF($E$4:$E$184,"520",$AP$4:$AP$184)</f>
        <v>649180877</v>
      </c>
      <c r="AQ196" s="27">
        <f>SUMIF($E$4:$E$186,"520",$AQ$4:$AQ$186)</f>
        <v>898014856</v>
      </c>
      <c r="AR196" s="27">
        <f>SUMIF($E$4:$E$186,"520",$AR$4:$AR$186)</f>
        <v>0</v>
      </c>
      <c r="AS196" s="27">
        <f>SUMIF($E$4:$E$184,"520",$AS$4:$AS$184)</f>
        <v>0</v>
      </c>
      <c r="AT196" s="27">
        <f>SUMIF($E$4:$E$184,"520",$AT$4:$AT$184)</f>
        <v>0</v>
      </c>
      <c r="AU196" s="27">
        <f>SUMIF($E$4:$E$155,"520",$AU$4:$AU$155)</f>
        <v>0</v>
      </c>
      <c r="AV196" s="27">
        <f>SUMIF($E$4:$E$184,"520",$AV$4:$AV$184)</f>
        <v>0</v>
      </c>
      <c r="AW196" s="27">
        <f>SUMIF($E$4:$E$184,"520",$AW$4:$AW$184)</f>
        <v>221128226</v>
      </c>
      <c r="AX196" s="27">
        <f>SUMIF($E$4:$E$184,"520",$AX$4:$AX$184)</f>
        <v>0</v>
      </c>
      <c r="AY196" s="27">
        <f>SUMIF($E$4:$E$186,"520",$AY$4:$AY$186)</f>
        <v>50000000</v>
      </c>
      <c r="AZ196" s="27">
        <f>SUMIF($E$4:$E$184,"520",$AZ$4:$AZ$184)</f>
        <v>0</v>
      </c>
      <c r="BA196" s="27">
        <f>SUMIF($E$4:$E$184,"520",$BA$4:$BA$184)</f>
        <v>0</v>
      </c>
      <c r="BB196" s="27">
        <f>SUMIF($E$4:$E$184,"520",$BB$4:$BB$184)</f>
        <v>0</v>
      </c>
      <c r="BC196" s="27">
        <f>SUMIF($E$4:$E$184,"520",$BC$4:$BC$184)</f>
        <v>0</v>
      </c>
      <c r="BD196" s="27">
        <f>SUMIF($E$4:$E$186,"520",$BD$4:$BD$186)</f>
        <v>539071824</v>
      </c>
      <c r="BE196" s="16">
        <f t="shared" si="336"/>
        <v>0.18628038728009377</v>
      </c>
      <c r="BF196" s="24">
        <f t="shared" si="337"/>
        <v>551111970</v>
      </c>
      <c r="BG196" s="22">
        <f>SUMIF($E$4:$E$184,"520",$BG$4:$BG$184)</f>
        <v>0</v>
      </c>
      <c r="BH196" s="22">
        <f>SUMIF($E$4:$E$184,"520",$BH$4:$BH$184)</f>
        <v>0</v>
      </c>
      <c r="BI196" s="22">
        <f>SUMIF($E$4:$E$184,"520",$BI$4:$BI$184)</f>
        <v>0</v>
      </c>
      <c r="BJ196" s="22">
        <f>SUMIF($E$4:$E$186,"520",$BJ$4:$BJ$186)</f>
        <v>0</v>
      </c>
      <c r="BK196" s="22">
        <f>SUMIF($E$4:$E$186,"520",$BK$4:$BK$186)</f>
        <v>72884540</v>
      </c>
      <c r="BL196" s="22">
        <f>SUMIF($E$4:$E$186,"520",$BL$4:$BL$186)</f>
        <v>10819123</v>
      </c>
      <c r="BM196" s="22">
        <f>SUMIF($E$4:$E$184,"520",$BM$4:$BM$184)</f>
        <v>25000000</v>
      </c>
      <c r="BN196" s="22">
        <f>SUMIF($E$4:$E$184,"520",$BN$4:$BN$184)</f>
        <v>0</v>
      </c>
      <c r="BO196" s="22">
        <f>SUMIF($E$4:$E$184,"520",$BO$4:$BO$184)</f>
        <v>0</v>
      </c>
      <c r="BP196" s="22">
        <f>SUMIF($E$4:$E$184,"520",$BP$4:$BP$184)</f>
        <v>0</v>
      </c>
      <c r="BQ196" s="22">
        <f>SUMIF($E$4:$E$184,"520",$BQ$4:$BQ$184)</f>
        <v>0</v>
      </c>
      <c r="BR196" s="22">
        <f>SUMIF($E$4:$E$184,"520",$BR$4:$BR$184)</f>
        <v>0</v>
      </c>
      <c r="BS196" s="22">
        <f>SUMIF($E$4:$E$184,"520",$BS$4:$BS$184)</f>
        <v>389736209</v>
      </c>
      <c r="BT196" s="22">
        <f>SUMIF($E$4:$E$184,"520",$BT$4:$BT$184)</f>
        <v>0</v>
      </c>
      <c r="BU196" s="22">
        <f>SUMIF($E$4:$E$184,"520",$BU$4:$BU$184)</f>
        <v>0</v>
      </c>
      <c r="BV196" s="22">
        <f>SUMIF($E$4:$E$184,"520",$BV$4:$BV$184)</f>
        <v>0</v>
      </c>
      <c r="BW196" s="22">
        <f>SUMIF($E$4:$E$184,"111",$BW$4:$BW$184)</f>
        <v>0</v>
      </c>
      <c r="BX196" s="22">
        <f>SUMIF($E$4:$E$184,"520",$BX$4:$BX$184)</f>
        <v>0</v>
      </c>
      <c r="BY196" s="22">
        <f>SUMIF($E$4:$E$184,"520",$BY$4:$BY$184)</f>
        <v>0</v>
      </c>
      <c r="BZ196" s="29">
        <f>SUMIF($E$4:$E$186,"520",$BZ$4:$BZ$186)</f>
        <v>52672098</v>
      </c>
      <c r="CA196" s="28">
        <f t="shared" si="338"/>
        <v>0.55390320722948605</v>
      </c>
      <c r="CB196" s="24">
        <f t="shared" si="339"/>
        <v>1638726933</v>
      </c>
      <c r="CC196" s="27">
        <f>SUMIF($E$4:$E$186,"520",$CC$4:$CC$186)</f>
        <v>0</v>
      </c>
      <c r="CD196" s="27">
        <f>SUMIF($E$4:$E$184,"520",$CD$4:$CD$184)</f>
        <v>0</v>
      </c>
      <c r="CE196" s="27">
        <f>SUMIF($E$4:$E$184,"520",$CE$4:$CE$184)</f>
        <v>0</v>
      </c>
      <c r="CF196" s="27">
        <f>SUMIF($E$4:$E$184,"520",$CF$4:$CF$184)</f>
        <v>40000000</v>
      </c>
      <c r="CG196" s="27">
        <f>SUMIF($E$4:$E$186,"520",$CG$4:$CG$186)</f>
        <v>0</v>
      </c>
      <c r="CH196" s="27">
        <f>SUMIF($E$4:$E$184,"520",$CH$4:$CH$184)</f>
        <v>478813038</v>
      </c>
      <c r="CI196" s="27">
        <f>SUMIF($E$4:$E$184,"520",$CI$4:$CI$184)</f>
        <v>545087024</v>
      </c>
      <c r="CJ196" s="27">
        <f>SUMIF($E$4:$E$186,"520",$CJ$4:$CJ$186)</f>
        <v>0</v>
      </c>
      <c r="CK196" s="27">
        <f>SUMIF($E$4:$E$184,"520",$CK$4:$CK$184)</f>
        <v>0</v>
      </c>
      <c r="CL196" s="27">
        <f>SUMIF($E$4:$E$184,"520",$CL$4:$CL$184)</f>
        <v>0</v>
      </c>
      <c r="CM196" s="27">
        <f>SUMIF($E$4:$E$184,"520",$CM$4:$CM$184)</f>
        <v>0</v>
      </c>
      <c r="CN196" s="27">
        <f>SUMIF($E$4:$E$184,"520",$CN$4:$CN$184)</f>
        <v>0</v>
      </c>
      <c r="CO196" s="27">
        <f>SUMIF($E$4:$E$184,"520",$CO$4:$CO$184)</f>
        <v>104600638</v>
      </c>
      <c r="CP196" s="27">
        <f>SUMIF($E$4:$E$184,"520",$CP$4:$CP$184)</f>
        <v>0</v>
      </c>
      <c r="CQ196" s="27">
        <f>SUMIF($E$4:$E$184,"520",$CQ$4:$CQ$184)</f>
        <v>23814210</v>
      </c>
      <c r="CR196" s="27">
        <f>SUMIF($E$4:$E$184,"520",$CR$4:$CR$184)</f>
        <v>0</v>
      </c>
      <c r="CS196" s="27">
        <f>SUMIF($E$4:$E$184,"520",$CS$4:$CS$184)</f>
        <v>0</v>
      </c>
      <c r="CT196" s="27">
        <f>SUMIF($E$4:$E$184,"520",$CT$4:$CT$184)</f>
        <v>0</v>
      </c>
      <c r="CU196" s="27">
        <f>SUMIF($E$4:$E$184,"520",$CU$4:$CU$184)</f>
        <v>0</v>
      </c>
      <c r="CV196" s="26">
        <f>SUMIF($E$4:$E$184,"520",$CV$4:$CV$184)</f>
        <v>446412023</v>
      </c>
      <c r="CW196" s="25">
        <f t="shared" si="340"/>
        <v>0.44609679277051395</v>
      </c>
      <c r="CX196" s="24">
        <f t="shared" si="341"/>
        <v>1319780820</v>
      </c>
      <c r="CY196" s="23">
        <f>SUMIF($E$4:$E$186,"520",$CY$4:$CY$186)</f>
        <v>0</v>
      </c>
      <c r="CZ196" s="22">
        <f>SUMIF($E$4:$E$184,"520",$CZ$4:$CZ$184)</f>
        <v>0</v>
      </c>
      <c r="DA196" s="22">
        <f>SUMIF($E$4:$E$186,"520",$DA$4:$DA$186)</f>
        <v>0</v>
      </c>
      <c r="DB196" s="22">
        <f>SUMIF($E$4:$E$186,"520",$DB$4:$DB$186)</f>
        <v>10000000</v>
      </c>
      <c r="DC196" s="22">
        <f>SUMIF($E$4:$E$186,"520",$DC$4:$DC$186)</f>
        <v>72884540</v>
      </c>
      <c r="DD196" s="22">
        <f>SUMIF($E$4:$E$186,"520",$DD$4:$DD$186)</f>
        <v>181186962</v>
      </c>
      <c r="DE196" s="22">
        <f>SUMIF($E$4:$E$186,"520",$DE$4:$DE$186)</f>
        <v>377927832</v>
      </c>
      <c r="DF196" s="22">
        <f>SUMIF($E$4:$E$186,"520",$DF$4:$DF$186)</f>
        <v>0</v>
      </c>
      <c r="DG196" s="21">
        <f>SUMIF($E$4:$E$184,"520",$DG$4:$DG$184)</f>
        <v>0</v>
      </c>
      <c r="DH196" s="21">
        <f>SUMIF($E$4:$E$184,"520",$DH$4:$DH$184)</f>
        <v>0</v>
      </c>
      <c r="DI196" s="21">
        <f>SUMIF($E$4:$E$186,"520",$DI$4:$DI$186)</f>
        <v>0</v>
      </c>
      <c r="DJ196" s="21">
        <f>SUMIF($E$4:$E$184,"520",$DJ$4:$DJ$184)</f>
        <v>0</v>
      </c>
      <c r="DK196" s="21">
        <f>SUMIF($E$4:$E$184,"520",$DK$4:$DK$184)</f>
        <v>506263797</v>
      </c>
      <c r="DL196" s="21">
        <f>SUMIF($E$4:$E$186,"520",$DL$4:$DL$186)</f>
        <v>0</v>
      </c>
      <c r="DM196" s="21">
        <f>SUMIF($E$4:$E$184,"520",$DM$4:$DM$184)</f>
        <v>26185790</v>
      </c>
      <c r="DN196" s="21">
        <f>SUMIF($E$4:$E$184,"520",$DN$4:$DN$184)</f>
        <v>0</v>
      </c>
      <c r="DO196" s="21">
        <f>SUMIF($E$4:$E$184,"520",$DO$4:$DO$184)</f>
        <v>0</v>
      </c>
      <c r="DP196" s="21">
        <f>SUMIF($E$4:$E$184,"520",$DP$4:$DP$184)</f>
        <v>0</v>
      </c>
      <c r="DQ196" s="21">
        <f>SUMIF($E$4:$E$184,"520",$DQ$4:$DQ$184)</f>
        <v>0</v>
      </c>
      <c r="DR196" s="21">
        <f>SUMIF($E$4:$E$186,"520",$DR$4:$DR$186)</f>
        <v>145331899</v>
      </c>
    </row>
    <row r="197" spans="3:122" x14ac:dyDescent="0.25">
      <c r="C197" s="36"/>
      <c r="D197" s="35" t="s">
        <v>3</v>
      </c>
      <c r="E197" s="43"/>
      <c r="F197" s="42"/>
      <c r="G197" s="19">
        <f>SUM(G191:G196)</f>
        <v>30001000000</v>
      </c>
      <c r="H197" s="19">
        <f>SUM(H191:H196)</f>
        <v>9726182348</v>
      </c>
      <c r="I197" s="19">
        <f>SUM(I191:I196)</f>
        <v>12777924240</v>
      </c>
      <c r="J197" s="42"/>
      <c r="K197" s="42"/>
      <c r="L197" s="42"/>
      <c r="M197" s="39">
        <f t="shared" ref="M197:AH197" si="342">SUM(M191:M196)</f>
        <v>22504106588</v>
      </c>
      <c r="N197" s="39">
        <f t="shared" si="342"/>
        <v>0</v>
      </c>
      <c r="O197" s="37">
        <f t="shared" si="342"/>
        <v>134533656</v>
      </c>
      <c r="P197" s="37">
        <f t="shared" si="342"/>
        <v>396726534</v>
      </c>
      <c r="Q197" s="37">
        <f t="shared" si="342"/>
        <v>9862143612</v>
      </c>
      <c r="R197" s="37">
        <f t="shared" si="342"/>
        <v>92895874</v>
      </c>
      <c r="S197" s="37">
        <f t="shared" si="342"/>
        <v>2509180877</v>
      </c>
      <c r="T197" s="37">
        <f t="shared" si="342"/>
        <v>1300000000</v>
      </c>
      <c r="U197" s="37">
        <f t="shared" si="342"/>
        <v>102810569</v>
      </c>
      <c r="V197" s="37">
        <f t="shared" si="342"/>
        <v>219471348</v>
      </c>
      <c r="W197" s="37">
        <f t="shared" si="342"/>
        <v>1940856</v>
      </c>
      <c r="X197" s="37">
        <f t="shared" si="342"/>
        <v>3438802</v>
      </c>
      <c r="Y197" s="37">
        <f t="shared" si="342"/>
        <v>318664514</v>
      </c>
      <c r="Z197" s="37">
        <f t="shared" si="342"/>
        <v>4114878115</v>
      </c>
      <c r="AA197" s="37">
        <f t="shared" si="342"/>
        <v>348609139</v>
      </c>
      <c r="AB197" s="37">
        <f t="shared" si="342"/>
        <v>727437634</v>
      </c>
      <c r="AC197" s="37">
        <f t="shared" si="342"/>
        <v>879054052</v>
      </c>
      <c r="AD197" s="37">
        <f t="shared" si="342"/>
        <v>0</v>
      </c>
      <c r="AE197" s="37">
        <f t="shared" si="342"/>
        <v>80844085</v>
      </c>
      <c r="AF197" s="37">
        <f t="shared" si="342"/>
        <v>92524043</v>
      </c>
      <c r="AG197" s="37">
        <f t="shared" si="342"/>
        <v>1318952878</v>
      </c>
      <c r="AH197" s="37">
        <f t="shared" si="342"/>
        <v>0</v>
      </c>
      <c r="AI197" s="31">
        <f t="shared" si="334"/>
        <v>0.62631935375367587</v>
      </c>
      <c r="AJ197" s="39">
        <f t="shared" ref="AJ197:BD197" si="343">SUM(AJ191:AJ196)</f>
        <v>14094757495</v>
      </c>
      <c r="AK197" s="41">
        <f t="shared" si="343"/>
        <v>0</v>
      </c>
      <c r="AL197" s="41">
        <f t="shared" si="343"/>
        <v>133268976</v>
      </c>
      <c r="AM197" s="41">
        <f t="shared" si="343"/>
        <v>396726534</v>
      </c>
      <c r="AN197" s="41">
        <f t="shared" si="343"/>
        <v>4910165187</v>
      </c>
      <c r="AO197" s="41">
        <f t="shared" si="343"/>
        <v>17503290</v>
      </c>
      <c r="AP197" s="41">
        <f t="shared" si="343"/>
        <v>1959007333</v>
      </c>
      <c r="AQ197" s="41">
        <f t="shared" si="343"/>
        <v>1132695531</v>
      </c>
      <c r="AR197" s="41">
        <f t="shared" si="343"/>
        <v>102810569</v>
      </c>
      <c r="AS197" s="41">
        <f t="shared" si="343"/>
        <v>219471348</v>
      </c>
      <c r="AT197" s="41">
        <f t="shared" si="343"/>
        <v>0</v>
      </c>
      <c r="AU197" s="41">
        <f t="shared" si="343"/>
        <v>0</v>
      </c>
      <c r="AV197" s="41">
        <f t="shared" si="343"/>
        <v>40655038</v>
      </c>
      <c r="AW197" s="41">
        <f t="shared" si="343"/>
        <v>2606923243</v>
      </c>
      <c r="AX197" s="41">
        <f t="shared" si="343"/>
        <v>194824002</v>
      </c>
      <c r="AY197" s="41">
        <f t="shared" si="343"/>
        <v>395414960</v>
      </c>
      <c r="AZ197" s="41">
        <f t="shared" si="343"/>
        <v>788052183</v>
      </c>
      <c r="BA197" s="41">
        <f t="shared" si="343"/>
        <v>0</v>
      </c>
      <c r="BB197" s="41">
        <f t="shared" si="343"/>
        <v>80844085</v>
      </c>
      <c r="BC197" s="41">
        <f t="shared" si="343"/>
        <v>92524043</v>
      </c>
      <c r="BD197" s="41">
        <f t="shared" si="343"/>
        <v>1023871173</v>
      </c>
      <c r="BE197" s="16">
        <f t="shared" si="336"/>
        <v>0.37368064624632413</v>
      </c>
      <c r="BF197" s="41">
        <f t="shared" ref="BF197:BZ197" si="344">SUM(BF191:BF196)</f>
        <v>8409349093</v>
      </c>
      <c r="BG197" s="41">
        <f t="shared" si="344"/>
        <v>0</v>
      </c>
      <c r="BH197" s="41">
        <f t="shared" si="344"/>
        <v>1264680</v>
      </c>
      <c r="BI197" s="41">
        <f t="shared" si="344"/>
        <v>0</v>
      </c>
      <c r="BJ197" s="24">
        <f t="shared" si="344"/>
        <v>4951978425</v>
      </c>
      <c r="BK197" s="24">
        <f t="shared" si="344"/>
        <v>75392584</v>
      </c>
      <c r="BL197" s="24">
        <f t="shared" si="344"/>
        <v>550173544</v>
      </c>
      <c r="BM197" s="24">
        <f t="shared" si="344"/>
        <v>167304469</v>
      </c>
      <c r="BN197" s="24">
        <f t="shared" si="344"/>
        <v>0</v>
      </c>
      <c r="BO197" s="24">
        <f t="shared" si="344"/>
        <v>0</v>
      </c>
      <c r="BP197" s="24">
        <f t="shared" si="344"/>
        <v>1940856</v>
      </c>
      <c r="BQ197" s="24">
        <f t="shared" si="344"/>
        <v>3438802</v>
      </c>
      <c r="BR197" s="24">
        <f t="shared" si="344"/>
        <v>278009476</v>
      </c>
      <c r="BS197" s="24">
        <f t="shared" si="344"/>
        <v>1507954872</v>
      </c>
      <c r="BT197" s="24">
        <f t="shared" si="344"/>
        <v>153785137</v>
      </c>
      <c r="BU197" s="24">
        <f t="shared" si="344"/>
        <v>332022674</v>
      </c>
      <c r="BV197" s="24">
        <f t="shared" si="344"/>
        <v>91001869</v>
      </c>
      <c r="BW197" s="24">
        <f t="shared" si="344"/>
        <v>0</v>
      </c>
      <c r="BX197" s="24">
        <f t="shared" si="344"/>
        <v>0</v>
      </c>
      <c r="BY197" s="24">
        <f t="shared" si="344"/>
        <v>0</v>
      </c>
      <c r="BZ197" s="24">
        <f t="shared" si="344"/>
        <v>295081705</v>
      </c>
      <c r="CA197" s="28">
        <f t="shared" si="338"/>
        <v>0.43219588877997717</v>
      </c>
      <c r="CB197" s="24">
        <f t="shared" ref="CB197:CV197" si="345">SUM(CB191:CB196)</f>
        <v>9726182348</v>
      </c>
      <c r="CC197" s="24">
        <f t="shared" si="345"/>
        <v>0</v>
      </c>
      <c r="CD197" s="40">
        <f t="shared" si="345"/>
        <v>133268976</v>
      </c>
      <c r="CE197" s="40">
        <f t="shared" si="345"/>
        <v>396726534</v>
      </c>
      <c r="CF197" s="40">
        <f t="shared" si="345"/>
        <v>3932442731</v>
      </c>
      <c r="CG197" s="40">
        <f t="shared" si="345"/>
        <v>12550540</v>
      </c>
      <c r="CH197" s="39">
        <f t="shared" si="345"/>
        <v>1590860535</v>
      </c>
      <c r="CI197" s="39">
        <f t="shared" si="345"/>
        <v>753232380</v>
      </c>
      <c r="CJ197" s="39">
        <f t="shared" si="345"/>
        <v>102810569</v>
      </c>
      <c r="CK197" s="39">
        <f t="shared" si="345"/>
        <v>127534316</v>
      </c>
      <c r="CL197" s="39">
        <f t="shared" si="345"/>
        <v>0</v>
      </c>
      <c r="CM197" s="39">
        <f t="shared" si="345"/>
        <v>0</v>
      </c>
      <c r="CN197" s="39">
        <f t="shared" si="345"/>
        <v>40655038</v>
      </c>
      <c r="CO197" s="39">
        <f t="shared" si="345"/>
        <v>1208261737</v>
      </c>
      <c r="CP197" s="39">
        <f t="shared" si="345"/>
        <v>121219278</v>
      </c>
      <c r="CQ197" s="39">
        <f t="shared" si="345"/>
        <v>250447070</v>
      </c>
      <c r="CR197" s="39">
        <f t="shared" si="345"/>
        <v>392169475</v>
      </c>
      <c r="CS197" s="39">
        <f t="shared" si="345"/>
        <v>0</v>
      </c>
      <c r="CT197" s="39">
        <f t="shared" si="345"/>
        <v>25815097</v>
      </c>
      <c r="CU197" s="39">
        <f t="shared" si="345"/>
        <v>0</v>
      </c>
      <c r="CV197" s="37">
        <f t="shared" si="345"/>
        <v>638188072</v>
      </c>
      <c r="CW197" s="25">
        <f t="shared" si="340"/>
        <v>0.56780411122002283</v>
      </c>
      <c r="CX197" s="39">
        <f t="shared" ref="CX197:DR197" ca="1" si="346">SUM(CX191:CX196)</f>
        <v>12777924240</v>
      </c>
      <c r="CY197" s="38">
        <f t="shared" si="346"/>
        <v>0</v>
      </c>
      <c r="CZ197" s="37">
        <f t="shared" ca="1" si="346"/>
        <v>1264680</v>
      </c>
      <c r="DA197" s="37">
        <f t="shared" si="346"/>
        <v>0</v>
      </c>
      <c r="DB197" s="37">
        <f t="shared" si="346"/>
        <v>5929700881</v>
      </c>
      <c r="DC197" s="37">
        <f t="shared" si="346"/>
        <v>80345334</v>
      </c>
      <c r="DD197" s="24">
        <f t="shared" si="346"/>
        <v>918320342</v>
      </c>
      <c r="DE197" s="24">
        <f t="shared" si="346"/>
        <v>546767620</v>
      </c>
      <c r="DF197" s="24">
        <f t="shared" si="346"/>
        <v>0</v>
      </c>
      <c r="DG197" s="24">
        <f t="shared" si="346"/>
        <v>91937032</v>
      </c>
      <c r="DH197" s="24">
        <f t="shared" si="346"/>
        <v>1940856</v>
      </c>
      <c r="DI197" s="24">
        <f t="shared" si="346"/>
        <v>3438802</v>
      </c>
      <c r="DJ197" s="24">
        <f t="shared" si="346"/>
        <v>278009476</v>
      </c>
      <c r="DK197" s="24">
        <f t="shared" si="346"/>
        <v>2906616378</v>
      </c>
      <c r="DL197" s="24">
        <f t="shared" si="346"/>
        <v>227389861</v>
      </c>
      <c r="DM197" s="24">
        <f t="shared" si="346"/>
        <v>476990564</v>
      </c>
      <c r="DN197" s="24">
        <f t="shared" si="346"/>
        <v>486884577</v>
      </c>
      <c r="DO197" s="24">
        <f t="shared" si="346"/>
        <v>0</v>
      </c>
      <c r="DP197" s="24">
        <f t="shared" si="346"/>
        <v>55028988</v>
      </c>
      <c r="DQ197" s="24">
        <f t="shared" si="346"/>
        <v>92524043</v>
      </c>
      <c r="DR197" s="24">
        <f t="shared" si="346"/>
        <v>680764806</v>
      </c>
    </row>
    <row r="198" spans="3:122" x14ac:dyDescent="0.25">
      <c r="C198" s="36"/>
      <c r="D198" s="35" t="s">
        <v>2</v>
      </c>
      <c r="E198" s="34">
        <v>301</v>
      </c>
      <c r="F198" s="32"/>
      <c r="G198" s="19">
        <f>SUMIF($E$4:$E$186,"301",$G$4:$G$186)</f>
        <v>1952000000</v>
      </c>
      <c r="H198" s="19">
        <f>SUMIF($E$4:$E$186,"301",$H$4:$H$186)</f>
        <v>1889977571</v>
      </c>
      <c r="I198" s="19">
        <f>SUMIF($E$4:$E$186,"301",$I$4:$I$186)</f>
        <v>623509315</v>
      </c>
      <c r="J198" s="32" t="s">
        <v>1</v>
      </c>
      <c r="K198" s="32"/>
      <c r="L198" s="32"/>
      <c r="M198" s="27">
        <f>SUMIF($E$4:$E$186,"301",$M$4:$M$186)</f>
        <v>2513486886</v>
      </c>
      <c r="N198" s="27">
        <f>SUMIF($E$4:$E$186,"301",$N$4:$N$186)</f>
        <v>104079469</v>
      </c>
      <c r="O198" s="33">
        <f>SUMIF($E$4:$E$184,"301",$O$4:$O$184)</f>
        <v>0</v>
      </c>
      <c r="P198" s="33">
        <f>SUMIF($E$4:$E$187,"301",$P$4:$P$187)</f>
        <v>0</v>
      </c>
      <c r="Q198" s="33">
        <f>SUMIF($E$4:$E$186,"301",$Q$4:$Q$186)</f>
        <v>0</v>
      </c>
      <c r="R198" s="27">
        <f>SUMIF($E$4:$E$186,"301",$R$4:$R$186)</f>
        <v>0</v>
      </c>
      <c r="S198" s="32">
        <f>SUMIF($E$4:$E$184,"301",$S$4:$S$184)</f>
        <v>0</v>
      </c>
      <c r="T198" s="32">
        <f>SUMIF($E$4:$E$184,"301",$T$4:$T$184)</f>
        <v>0</v>
      </c>
      <c r="U198" s="32">
        <f>SUMIF($E$4:$E$184,"301",$U$4:$U$184)</f>
        <v>0</v>
      </c>
      <c r="V198" s="32">
        <f>SUMIF($E$4:$E$184,"301",$V$4:$V$184)</f>
        <v>0</v>
      </c>
      <c r="W198" s="32">
        <f>SUMIF($E$4:$E$184,"301",$W$4:$W$184)</f>
        <v>0</v>
      </c>
      <c r="X198" s="32">
        <f>SUMIF($E$4:$E$184,"301",$X$4:$X$184)</f>
        <v>0</v>
      </c>
      <c r="Y198" s="32">
        <f>SUMIF($E$4:$E$184,"301",$Y$4:$Y$184)</f>
        <v>0</v>
      </c>
      <c r="Z198" s="32">
        <f>SUMIF($E$4:$E$184,"301",$Z$4:$Z$184)</f>
        <v>0</v>
      </c>
      <c r="AA198" s="32">
        <f>SUMIF($E$4:$E$184,"301",$AA$4:$AA$184)</f>
        <v>728406867</v>
      </c>
      <c r="AB198" s="32">
        <f>SUMIF($E$4:$E$184,"301",$AB$4:$AB$184)</f>
        <v>346819196</v>
      </c>
      <c r="AC198" s="32">
        <f>SUMIF($E$4:$E$184,"301",$AC$4:$AC$184)</f>
        <v>84573365</v>
      </c>
      <c r="AD198" s="32">
        <f>SUMIF($E$4:$E$155,"301",$AD$4:$AD$155)</f>
        <v>1181607989</v>
      </c>
      <c r="AE198" s="32">
        <f>SUMIF($E$4:$E$155,"301",$AE$4:$AE$155)</f>
        <v>0</v>
      </c>
      <c r="AF198" s="32">
        <f>SUMIF($E$4:$E$184,"301",$AF$4:$AF$184)</f>
        <v>0</v>
      </c>
      <c r="AG198" s="32">
        <f>SUMIF($E$4:$E$186,"301",$AG$4:$AG$186)</f>
        <v>68000000</v>
      </c>
      <c r="AI198" s="31">
        <f t="shared" si="334"/>
        <v>0.96501378125750048</v>
      </c>
      <c r="AJ198" s="30">
        <f>SUM(AK198:BD198)</f>
        <v>2425549484</v>
      </c>
      <c r="AK198" s="27">
        <f>SUMIF($E$4:$E$184,"301",$AK$4:$AK$184)</f>
        <v>103688299</v>
      </c>
      <c r="AL198" s="27">
        <f>SUMIF($E$4:$E$186,"301",$AL$4:$AL$186)</f>
        <v>0</v>
      </c>
      <c r="AM198" s="27">
        <f>SUMIF($E$4:$E$186,"301",$AM$4:$AM$186)</f>
        <v>0</v>
      </c>
      <c r="AN198" s="27">
        <f>SUMIF($E$4:$E$186,"301",$AN$4:$AN$186)</f>
        <v>0</v>
      </c>
      <c r="AO198" s="27">
        <f>SUMIF($E$4:$E$184,"301",$AO$4:$AO$184)</f>
        <v>0</v>
      </c>
      <c r="AP198" s="27">
        <f>SUMIF($E$4:$E$184,"301",$AP$4:$AP$184)</f>
        <v>0</v>
      </c>
      <c r="AQ198" s="27">
        <f>SUMIF($E$4:$E$186,"301",$AQ$4:$AQ$186)</f>
        <v>0</v>
      </c>
      <c r="AR198" s="27">
        <f>SUMIF($E$4:$E$186,"301",$AR$4:$AR$186)</f>
        <v>0</v>
      </c>
      <c r="AS198" s="27">
        <f>SUMIF($E$4:$E$184,"301",$AS$4:$AS$184)</f>
        <v>0</v>
      </c>
      <c r="AT198" s="27">
        <f>SUMIF($E$4:$E$184,"301",$AT$4:$AT$184)</f>
        <v>0</v>
      </c>
      <c r="AU198" s="27">
        <f>SUMIF($E$4:$E$155,"301",$AU$4:$AU$155)</f>
        <v>0</v>
      </c>
      <c r="AV198" s="27">
        <f>SUMIF($E$4:$E$184,"301",$AV$4:$AV$184)</f>
        <v>0</v>
      </c>
      <c r="AW198" s="27">
        <f>SUMIF($E$4:$E$184,"301",$AW$4:$AW$184)</f>
        <v>0</v>
      </c>
      <c r="AX198" s="27">
        <f>SUMIF($E$4:$E$184,"301",$AX$4:$AX$184)</f>
        <v>709199167</v>
      </c>
      <c r="AY198" s="27">
        <f>SUMIF($E$4:$E$186,"301",$AY$4:$AY$186)</f>
        <v>346819196</v>
      </c>
      <c r="AZ198" s="27">
        <f>SUMIF($E$4:$E$184,"301",$AZ$4:$AZ$184)</f>
        <v>47034833</v>
      </c>
      <c r="BA198" s="27">
        <f>SUMIF($E$4:$E$184,"301",$BA$4:$BA$184)</f>
        <v>1157607989</v>
      </c>
      <c r="BB198" s="27">
        <f>SUMIF($E$4:$E$184,"301",$BB$4:$BB$184)</f>
        <v>0</v>
      </c>
      <c r="BC198" s="27">
        <f>SUMIF($E$4:$E$184,"301",$BC$4:$BC$184)</f>
        <v>0</v>
      </c>
      <c r="BD198" s="27">
        <f>SUMIF($E$4:$E$184,"301",$BD$4:$BD$184)</f>
        <v>61200000</v>
      </c>
      <c r="BE198" s="16">
        <f t="shared" si="336"/>
        <v>3.498621874249952E-2</v>
      </c>
      <c r="BF198" s="24">
        <f>SUM(BG198:BZ198)</f>
        <v>87937402</v>
      </c>
      <c r="BG198" s="22">
        <f>SUMIF($E$4:$E$184,"301",$BG$4:$BG$184)</f>
        <v>391170</v>
      </c>
      <c r="BH198" s="22">
        <f>SUMIF($E$4:$E$184,"301",$BH$4:$BH$184)</f>
        <v>0</v>
      </c>
      <c r="BI198" s="22">
        <f>SUMIF($E$4:$E$184,"301",$BI$4:$BI$184)</f>
        <v>0</v>
      </c>
      <c r="BJ198" s="22">
        <f>SUMIF($E$4:$E$186,"301",$BJ$4:$BJ$186)</f>
        <v>0</v>
      </c>
      <c r="BK198" s="22">
        <f>SUMIF($E$4:$E$186,"301",$BK$4:$BK$186)</f>
        <v>0</v>
      </c>
      <c r="BL198" s="22">
        <f>SUMIF($E$4:$E$184,"301",$BL$4:$BL$184)</f>
        <v>0</v>
      </c>
      <c r="BM198" s="22">
        <f>SUMIF($E$4:$E$184,"301",$BM$4:$BM$184)</f>
        <v>0</v>
      </c>
      <c r="BN198" s="22">
        <f>SUMIF($E$4:$E$184,"301",$BN$4:$BN$184)</f>
        <v>0</v>
      </c>
      <c r="BO198" s="22">
        <f>SUMIF($E$4:$E$184,"301",$BO$4:$BO$184)</f>
        <v>0</v>
      </c>
      <c r="BP198" s="22">
        <f>SUMIF($E$4:$E$184,"301",$BP$4:$BP$184)</f>
        <v>0</v>
      </c>
      <c r="BQ198" s="22">
        <f>SUMIF($E$4:$E$184,"301",$BQ$4:$BQ$184)</f>
        <v>0</v>
      </c>
      <c r="BR198" s="22">
        <f>SUMIF($E$4:$E$184,"301",$BR$4:$BR$184)</f>
        <v>0</v>
      </c>
      <c r="BS198" s="22">
        <f>SUMIF($E$4:$E$184,"301",$BS$4:$BS$184)</f>
        <v>0</v>
      </c>
      <c r="BT198" s="22">
        <f>SUMIF($E$4:$E$184,"301",$BT$4:$BT$184)</f>
        <v>19207700</v>
      </c>
      <c r="BU198" s="22">
        <f>SUMIF($E$4:$E$184,"301",$BU$4:$BU$184)</f>
        <v>0</v>
      </c>
      <c r="BV198" s="22">
        <f>SUMIF($E$4:$E$184,"301",$BV$4:$BV$184)</f>
        <v>37538532</v>
      </c>
      <c r="BW198" s="22">
        <f>SUMIF($E$4:$E$184,"301",$BW$4:$BW$184)</f>
        <v>24000000</v>
      </c>
      <c r="BX198" s="22">
        <f>SUMIF($E$4:$E$184,"301",$BX$4:$BX$184)</f>
        <v>0</v>
      </c>
      <c r="BY198" s="22"/>
      <c r="BZ198" s="29">
        <f>SUMIF($E$4:$E$186,"301",$BZ$4:$BZ$186)</f>
        <v>6800000</v>
      </c>
      <c r="CA198" s="28">
        <f t="shared" si="338"/>
        <v>0.75193452630570046</v>
      </c>
      <c r="CB198" s="24">
        <f>SUM(CC198:CV198)</f>
        <v>1889977571</v>
      </c>
      <c r="CC198" s="27">
        <f>SUMIF($E$4:$E$186,"301",$CC$4:$CC$186)</f>
        <v>44765799</v>
      </c>
      <c r="CD198" s="27">
        <f>SUMIF($E$4:$E$184,"301",$CD$4:$CD$184)</f>
        <v>0</v>
      </c>
      <c r="CE198" s="27">
        <f>SUMIF($E$4:$E$184,"301",$CE$4:$CE$184)</f>
        <v>0</v>
      </c>
      <c r="CF198" s="27">
        <f>SUMIF($E$4:$E$184,"301",$CF$4:$CF$184)</f>
        <v>0</v>
      </c>
      <c r="CG198" s="27">
        <f>SUMIF($E$4:$E$186,"301",$CG$4:$CG$186)</f>
        <v>0</v>
      </c>
      <c r="CH198" s="27">
        <f>SUMIF($E$4:$E$184,"301",$CH$4:$CH$184)</f>
        <v>0</v>
      </c>
      <c r="CI198" s="27">
        <f>SUMIF($E$4:$E$184,"301",$CI$4:$CI$184)</f>
        <v>0</v>
      </c>
      <c r="CJ198" s="27">
        <f>SUMIF($E$4:$E$186,"301",$CJ$4:$CJ$186)</f>
        <v>0</v>
      </c>
      <c r="CK198" s="27">
        <f>SUMIF($E$4:$E$184,"301",$CK$4:$CK$184)</f>
        <v>0</v>
      </c>
      <c r="CL198" s="27">
        <f>SUMIF($E$4:$E$184,"301",$CL$4:$CL$184)</f>
        <v>0</v>
      </c>
      <c r="CM198" s="27">
        <f>SUMIF($E$4:$E$184,"301",$CM$4:$CM$184)</f>
        <v>0</v>
      </c>
      <c r="CN198" s="27">
        <f>SUMIF($E$4:$E$184,"301",$CN$4:$CN$184)</f>
        <v>0</v>
      </c>
      <c r="CO198" s="27">
        <f>SUMIF($E$4:$E$184,"301",$CO$4:$CO$184)</f>
        <v>0</v>
      </c>
      <c r="CP198" s="27">
        <f>SUMIF($E$4:$E$186,"301",$CP$4:$CP$186)</f>
        <v>436355867</v>
      </c>
      <c r="CQ198" s="27">
        <f>SUMIF($E$4:$E$184,"301",$CQ$4:$CQ$184)</f>
        <v>324798808</v>
      </c>
      <c r="CR198" s="27">
        <f>SUMIF($E$4:$E$184,"301",$CR$4:$CR$184)</f>
        <v>38290498</v>
      </c>
      <c r="CS198" s="27">
        <f>SUMIF($E$4:$E$184,"301",$CS$4:$CS$184)</f>
        <v>1016162182</v>
      </c>
      <c r="CT198" s="27">
        <f>SUMIF($E$4:$E$184,"301",$CT$4:$CT$184)</f>
        <v>0</v>
      </c>
      <c r="CU198" s="27">
        <f>SUMIF($E$4:$E$184,"301",$CU$4:$CU$184)</f>
        <v>0</v>
      </c>
      <c r="CV198" s="26">
        <f>SUMIF($E$4:$E$184,"301",$CV$4:$CV$184)</f>
        <v>29604417</v>
      </c>
      <c r="CW198" s="25">
        <f t="shared" si="340"/>
        <v>0.24806547369429954</v>
      </c>
      <c r="CX198" s="24">
        <f>SUM(CY198:DR198)</f>
        <v>623509315</v>
      </c>
      <c r="CY198" s="23">
        <f>SUMIF($E$4:$E$186,"301",$CY$4:$CY$186)</f>
        <v>59313670</v>
      </c>
      <c r="CZ198" s="22">
        <f>SUMIF($E$4:$E$184,"301",$CZ$4:$CZ$184)</f>
        <v>0</v>
      </c>
      <c r="DA198" s="22">
        <f>SUMIF($E$4:$E$186,"301",$DA$4:$DA$186)</f>
        <v>0</v>
      </c>
      <c r="DB198" s="22">
        <f>SUMIF($E$4:$E$184,"301",$DB$4:$DB$184)</f>
        <v>0</v>
      </c>
      <c r="DC198" s="22">
        <f>SUMIF($E$4:$E$186,"301",$DC$4:$DC$186)</f>
        <v>0</v>
      </c>
      <c r="DD198" s="22">
        <f>SUMIF($E$4:$E$186,"301",$DD$4:$DD$186)</f>
        <v>0</v>
      </c>
      <c r="DE198" s="22">
        <f>SUMIF($E$4:$E$184,"301",$DE$4:$DE$184)</f>
        <v>0</v>
      </c>
      <c r="DF198" s="22">
        <f>SUMIF($E$4:$E$186,"301",$DF$4:$DF$186)</f>
        <v>0</v>
      </c>
      <c r="DG198" s="21">
        <f>SUMIF($E$4:$E$184,"301",$DG$4:$DG$184)</f>
        <v>0</v>
      </c>
      <c r="DH198" s="21">
        <f>SUMIF($E$4:$E$184,"301",$DH$4:$DH$184)</f>
        <v>0</v>
      </c>
      <c r="DI198" s="21">
        <f>SUMIF($E$4:$E$186,"301",$DI$4:$DI$186)</f>
        <v>0</v>
      </c>
      <c r="DJ198" s="21">
        <f>SUMIF($E$4:$E$184,"301",$DJ$4:$DJ$184)</f>
        <v>0</v>
      </c>
      <c r="DK198" s="21">
        <f>SUMIF($E$4:$E$184,"301",$DK$4:$DK$184)</f>
        <v>0</v>
      </c>
      <c r="DL198" s="21">
        <f>SUMIF($E$4:$E$186,"301",$DL$4:$DL$186)</f>
        <v>292051000</v>
      </c>
      <c r="DM198" s="21">
        <f>SUMIF($E$4:$E$184,"301",$DM$4:$DM$184)</f>
        <v>22020388</v>
      </c>
      <c r="DN198" s="21">
        <f>SUMIF($E$4:$E$184,"301",$DN$4:$DN$184)</f>
        <v>46282867</v>
      </c>
      <c r="DO198" s="21">
        <f>SUMIF($E$4:$E$184,"301",$DO$4:$DO$184)</f>
        <v>165445807</v>
      </c>
      <c r="DP198" s="21">
        <f>SUMIF($E$4:$E$184,"301",$DP$4:$DP$184)</f>
        <v>0</v>
      </c>
      <c r="DQ198" s="21">
        <f>SUMIF($E$4:$E$184,"301",$DQ$4:$DQ$184)</f>
        <v>0</v>
      </c>
      <c r="DR198" s="21">
        <f>SUMIF($E$4:$E$186,"301",$DR$4:$DR$186)</f>
        <v>38395583</v>
      </c>
    </row>
    <row r="199" spans="3:122" ht="15.75" thickBot="1" x14ac:dyDescent="0.3">
      <c r="C199" s="253" t="s">
        <v>0</v>
      </c>
      <c r="D199" s="254"/>
      <c r="E199" s="20"/>
      <c r="F199" s="18"/>
      <c r="G199" s="19">
        <f>SUM(G197:G198)</f>
        <v>31953000000</v>
      </c>
      <c r="H199" s="19">
        <f>SUM(H197:H198)</f>
        <v>11616159919</v>
      </c>
      <c r="I199" s="19">
        <f>SUM(I197:I198)</f>
        <v>13401433555</v>
      </c>
      <c r="J199" s="18"/>
      <c r="K199" s="18"/>
      <c r="L199" s="18"/>
      <c r="M199" s="8">
        <f t="shared" ref="M199:AH199" si="347">SUM(M197:M198)</f>
        <v>25017593474</v>
      </c>
      <c r="N199" s="8">
        <f t="shared" si="347"/>
        <v>104079469</v>
      </c>
      <c r="O199" s="8">
        <f t="shared" si="347"/>
        <v>134533656</v>
      </c>
      <c r="P199" s="8">
        <f t="shared" si="347"/>
        <v>396726534</v>
      </c>
      <c r="Q199" s="8">
        <f t="shared" si="347"/>
        <v>9862143612</v>
      </c>
      <c r="R199" s="8">
        <f t="shared" si="347"/>
        <v>92895874</v>
      </c>
      <c r="S199" s="8">
        <f t="shared" si="347"/>
        <v>2509180877</v>
      </c>
      <c r="T199" s="8">
        <f t="shared" si="347"/>
        <v>1300000000</v>
      </c>
      <c r="U199" s="8">
        <f t="shared" si="347"/>
        <v>102810569</v>
      </c>
      <c r="V199" s="8">
        <f t="shared" si="347"/>
        <v>219471348</v>
      </c>
      <c r="W199" s="8">
        <f t="shared" si="347"/>
        <v>1940856</v>
      </c>
      <c r="X199" s="8">
        <f t="shared" si="347"/>
        <v>3438802</v>
      </c>
      <c r="Y199" s="8">
        <f t="shared" si="347"/>
        <v>318664514</v>
      </c>
      <c r="Z199" s="8">
        <f t="shared" si="347"/>
        <v>4114878115</v>
      </c>
      <c r="AA199" s="8">
        <f t="shared" si="347"/>
        <v>1077016006</v>
      </c>
      <c r="AB199" s="8">
        <f t="shared" si="347"/>
        <v>1074256830</v>
      </c>
      <c r="AC199" s="8">
        <f t="shared" si="347"/>
        <v>963627417</v>
      </c>
      <c r="AD199" s="8">
        <f t="shared" si="347"/>
        <v>1181607989</v>
      </c>
      <c r="AE199" s="8">
        <f t="shared" si="347"/>
        <v>80844085</v>
      </c>
      <c r="AF199" s="8">
        <f t="shared" si="347"/>
        <v>92524043</v>
      </c>
      <c r="AG199" s="8">
        <f t="shared" si="347"/>
        <v>1386952878</v>
      </c>
      <c r="AH199" s="8">
        <f t="shared" si="347"/>
        <v>0</v>
      </c>
      <c r="AI199" s="17">
        <f t="shared" si="334"/>
        <v>0.66034756685006646</v>
      </c>
      <c r="AJ199" s="15">
        <f t="shared" ref="AJ199:BD199" si="348">AJ197+AJ198</f>
        <v>16520306979</v>
      </c>
      <c r="AK199" s="15">
        <f t="shared" si="348"/>
        <v>103688299</v>
      </c>
      <c r="AL199" s="15">
        <f t="shared" si="348"/>
        <v>133268976</v>
      </c>
      <c r="AM199" s="15">
        <f t="shared" si="348"/>
        <v>396726534</v>
      </c>
      <c r="AN199" s="15">
        <f t="shared" si="348"/>
        <v>4910165187</v>
      </c>
      <c r="AO199" s="15">
        <f t="shared" si="348"/>
        <v>17503290</v>
      </c>
      <c r="AP199" s="15">
        <f t="shared" si="348"/>
        <v>1959007333</v>
      </c>
      <c r="AQ199" s="15">
        <f t="shared" si="348"/>
        <v>1132695531</v>
      </c>
      <c r="AR199" s="15">
        <f t="shared" si="348"/>
        <v>102810569</v>
      </c>
      <c r="AS199" s="15">
        <f t="shared" si="348"/>
        <v>219471348</v>
      </c>
      <c r="AT199" s="15">
        <f t="shared" si="348"/>
        <v>0</v>
      </c>
      <c r="AU199" s="15">
        <f t="shared" si="348"/>
        <v>0</v>
      </c>
      <c r="AV199" s="15">
        <f t="shared" si="348"/>
        <v>40655038</v>
      </c>
      <c r="AW199" s="15">
        <f t="shared" si="348"/>
        <v>2606923243</v>
      </c>
      <c r="AX199" s="15">
        <f t="shared" si="348"/>
        <v>904023169</v>
      </c>
      <c r="AY199" s="15">
        <f t="shared" si="348"/>
        <v>742234156</v>
      </c>
      <c r="AZ199" s="15">
        <f t="shared" si="348"/>
        <v>835087016</v>
      </c>
      <c r="BA199" s="15">
        <f t="shared" si="348"/>
        <v>1157607989</v>
      </c>
      <c r="BB199" s="15">
        <f t="shared" si="348"/>
        <v>80844085</v>
      </c>
      <c r="BC199" s="15">
        <f t="shared" si="348"/>
        <v>92524043</v>
      </c>
      <c r="BD199" s="15">
        <f t="shared" si="348"/>
        <v>1085071173</v>
      </c>
      <c r="BE199" s="171">
        <f t="shared" si="336"/>
        <v>0.33965243314993354</v>
      </c>
      <c r="BF199" s="15">
        <f>BF197+BF198</f>
        <v>8497286495</v>
      </c>
      <c r="BG199" s="15">
        <f>BG197+BG198</f>
        <v>391170</v>
      </c>
      <c r="BH199" s="15">
        <f>BH197+BH198</f>
        <v>1264680</v>
      </c>
      <c r="BI199" s="15">
        <f>BI197+BI198</f>
        <v>0</v>
      </c>
      <c r="BJ199" s="12">
        <f t="shared" ref="BJ199:BZ199" si="349">+BJ197+BJ198</f>
        <v>4951978425</v>
      </c>
      <c r="BK199" s="12">
        <f t="shared" si="349"/>
        <v>75392584</v>
      </c>
      <c r="BL199" s="12">
        <f t="shared" si="349"/>
        <v>550173544</v>
      </c>
      <c r="BM199" s="12">
        <f t="shared" si="349"/>
        <v>167304469</v>
      </c>
      <c r="BN199" s="12">
        <f t="shared" si="349"/>
        <v>0</v>
      </c>
      <c r="BO199" s="12">
        <f t="shared" si="349"/>
        <v>0</v>
      </c>
      <c r="BP199" s="12">
        <f t="shared" si="349"/>
        <v>1940856</v>
      </c>
      <c r="BQ199" s="12">
        <f t="shared" si="349"/>
        <v>3438802</v>
      </c>
      <c r="BR199" s="12">
        <f t="shared" si="349"/>
        <v>278009476</v>
      </c>
      <c r="BS199" s="12">
        <f t="shared" si="349"/>
        <v>1507954872</v>
      </c>
      <c r="BT199" s="12">
        <f t="shared" si="349"/>
        <v>172992837</v>
      </c>
      <c r="BU199" s="12">
        <f t="shared" si="349"/>
        <v>332022674</v>
      </c>
      <c r="BV199" s="12">
        <f t="shared" si="349"/>
        <v>128540401</v>
      </c>
      <c r="BW199" s="12">
        <f t="shared" si="349"/>
        <v>24000000</v>
      </c>
      <c r="BX199" s="12">
        <f t="shared" si="349"/>
        <v>0</v>
      </c>
      <c r="BY199" s="12">
        <f t="shared" si="349"/>
        <v>0</v>
      </c>
      <c r="BZ199" s="12">
        <f t="shared" si="349"/>
        <v>301881705</v>
      </c>
      <c r="CA199" s="14">
        <f t="shared" si="338"/>
        <v>0.46431963694159117</v>
      </c>
      <c r="CB199" s="13">
        <f t="shared" ref="CB199:CG199" si="350">+CB197+CB198</f>
        <v>11616159919</v>
      </c>
      <c r="CC199" s="12">
        <f t="shared" si="350"/>
        <v>44765799</v>
      </c>
      <c r="CD199" s="12">
        <f t="shared" si="350"/>
        <v>133268976</v>
      </c>
      <c r="CE199" s="12">
        <f t="shared" si="350"/>
        <v>396726534</v>
      </c>
      <c r="CF199" s="12">
        <f t="shared" si="350"/>
        <v>3932442731</v>
      </c>
      <c r="CG199" s="12">
        <f t="shared" si="350"/>
        <v>12550540</v>
      </c>
      <c r="CH199" s="8">
        <f t="shared" ref="CH199:CV199" si="351">SUM(CH197:CH198)</f>
        <v>1590860535</v>
      </c>
      <c r="CI199" s="8">
        <f t="shared" si="351"/>
        <v>753232380</v>
      </c>
      <c r="CJ199" s="8">
        <f t="shared" si="351"/>
        <v>102810569</v>
      </c>
      <c r="CK199" s="8">
        <f t="shared" si="351"/>
        <v>127534316</v>
      </c>
      <c r="CL199" s="8">
        <f t="shared" si="351"/>
        <v>0</v>
      </c>
      <c r="CM199" s="8">
        <f t="shared" si="351"/>
        <v>0</v>
      </c>
      <c r="CN199" s="8">
        <f t="shared" si="351"/>
        <v>40655038</v>
      </c>
      <c r="CO199" s="8">
        <f t="shared" si="351"/>
        <v>1208261737</v>
      </c>
      <c r="CP199" s="8">
        <f t="shared" si="351"/>
        <v>557575145</v>
      </c>
      <c r="CQ199" s="8">
        <f t="shared" si="351"/>
        <v>575245878</v>
      </c>
      <c r="CR199" s="8">
        <f t="shared" si="351"/>
        <v>430459973</v>
      </c>
      <c r="CS199" s="8">
        <f t="shared" si="351"/>
        <v>1016162182</v>
      </c>
      <c r="CT199" s="8">
        <f t="shared" si="351"/>
        <v>25815097</v>
      </c>
      <c r="CU199" s="8">
        <f t="shared" si="351"/>
        <v>0</v>
      </c>
      <c r="CV199" s="9">
        <f t="shared" si="351"/>
        <v>667792489</v>
      </c>
      <c r="CW199" s="11">
        <f t="shared" si="340"/>
        <v>0.53568036305840883</v>
      </c>
      <c r="CX199" s="8">
        <f t="shared" ref="CX199:DR199" ca="1" si="352">SUM(CX197:CX198)</f>
        <v>13401433555</v>
      </c>
      <c r="CY199" s="10">
        <f t="shared" si="352"/>
        <v>59313670</v>
      </c>
      <c r="CZ199" s="9">
        <f t="shared" ca="1" si="352"/>
        <v>1264680</v>
      </c>
      <c r="DA199" s="9">
        <f t="shared" si="352"/>
        <v>0</v>
      </c>
      <c r="DB199" s="9">
        <f t="shared" si="352"/>
        <v>5929700881</v>
      </c>
      <c r="DC199" s="9">
        <f t="shared" si="352"/>
        <v>80345334</v>
      </c>
      <c r="DD199" s="8">
        <f t="shared" si="352"/>
        <v>918320342</v>
      </c>
      <c r="DE199" s="8">
        <f t="shared" si="352"/>
        <v>546767620</v>
      </c>
      <c r="DF199" s="8">
        <f t="shared" si="352"/>
        <v>0</v>
      </c>
      <c r="DG199" s="7">
        <f t="shared" si="352"/>
        <v>91937032</v>
      </c>
      <c r="DH199" s="7">
        <f t="shared" si="352"/>
        <v>1940856</v>
      </c>
      <c r="DI199" s="7">
        <f t="shared" si="352"/>
        <v>3438802</v>
      </c>
      <c r="DJ199" s="7">
        <f t="shared" si="352"/>
        <v>278009476</v>
      </c>
      <c r="DK199" s="7">
        <f t="shared" si="352"/>
        <v>2906616378</v>
      </c>
      <c r="DL199" s="7">
        <f t="shared" si="352"/>
        <v>519440861</v>
      </c>
      <c r="DM199" s="7">
        <f t="shared" si="352"/>
        <v>499010952</v>
      </c>
      <c r="DN199" s="7">
        <f t="shared" si="352"/>
        <v>533167444</v>
      </c>
      <c r="DO199" s="7">
        <f t="shared" si="352"/>
        <v>165445807</v>
      </c>
      <c r="DP199" s="7">
        <f t="shared" si="352"/>
        <v>55028988</v>
      </c>
      <c r="DQ199" s="7">
        <f t="shared" si="352"/>
        <v>92524043</v>
      </c>
      <c r="DR199" s="7">
        <f t="shared" si="352"/>
        <v>719160389</v>
      </c>
    </row>
    <row r="200" spans="3:122" ht="15.75" thickTop="1" x14ac:dyDescent="0.25">
      <c r="M200" s="1">
        <f t="shared" ref="M200:AG200" si="353">+M189-M199</f>
        <v>0</v>
      </c>
      <c r="N200" s="1">
        <f t="shared" si="353"/>
        <v>0</v>
      </c>
      <c r="O200" s="1">
        <f t="shared" si="353"/>
        <v>0</v>
      </c>
      <c r="P200" s="1">
        <f t="shared" si="353"/>
        <v>0</v>
      </c>
      <c r="Q200" s="1">
        <f t="shared" si="353"/>
        <v>0</v>
      </c>
      <c r="R200" s="1">
        <f t="shared" si="353"/>
        <v>0</v>
      </c>
      <c r="S200" s="1">
        <f t="shared" si="353"/>
        <v>0</v>
      </c>
      <c r="T200" s="1">
        <f t="shared" si="353"/>
        <v>0</v>
      </c>
      <c r="U200" s="1">
        <f t="shared" si="353"/>
        <v>0</v>
      </c>
      <c r="V200" s="1">
        <f t="shared" si="353"/>
        <v>0</v>
      </c>
      <c r="W200" s="1">
        <f t="shared" si="353"/>
        <v>0</v>
      </c>
      <c r="X200" s="1">
        <f t="shared" si="353"/>
        <v>0</v>
      </c>
      <c r="Y200" s="1">
        <f t="shared" si="353"/>
        <v>0</v>
      </c>
      <c r="Z200" s="1">
        <f t="shared" si="353"/>
        <v>0</v>
      </c>
      <c r="AA200" s="1">
        <f t="shared" si="353"/>
        <v>0</v>
      </c>
      <c r="AB200" s="1">
        <f t="shared" si="353"/>
        <v>0</v>
      </c>
      <c r="AC200" s="1">
        <f t="shared" si="353"/>
        <v>0</v>
      </c>
      <c r="AD200" s="1">
        <f t="shared" si="353"/>
        <v>0</v>
      </c>
      <c r="AE200" s="1">
        <f t="shared" si="353"/>
        <v>0</v>
      </c>
      <c r="AF200" s="1">
        <f t="shared" si="353"/>
        <v>0</v>
      </c>
      <c r="AG200" s="1">
        <f t="shared" si="353"/>
        <v>0</v>
      </c>
      <c r="AJ200" s="1">
        <f t="shared" ref="AJ200:BD200" si="354">+AJ189-AJ199</f>
        <v>0</v>
      </c>
      <c r="AK200" s="1">
        <f t="shared" si="354"/>
        <v>0</v>
      </c>
      <c r="AL200" s="1">
        <f t="shared" si="354"/>
        <v>0</v>
      </c>
      <c r="AM200" s="1">
        <f t="shared" si="354"/>
        <v>0</v>
      </c>
      <c r="AN200" s="1">
        <f t="shared" si="354"/>
        <v>0</v>
      </c>
      <c r="AO200" s="1">
        <f t="shared" si="354"/>
        <v>0</v>
      </c>
      <c r="AP200" s="1">
        <f t="shared" si="354"/>
        <v>0</v>
      </c>
      <c r="AQ200" s="1">
        <f t="shared" si="354"/>
        <v>0</v>
      </c>
      <c r="AR200" s="1">
        <f t="shared" si="354"/>
        <v>0</v>
      </c>
      <c r="AS200" s="1">
        <f t="shared" si="354"/>
        <v>0</v>
      </c>
      <c r="AT200" s="1">
        <f t="shared" si="354"/>
        <v>0</v>
      </c>
      <c r="AU200" s="1">
        <f t="shared" si="354"/>
        <v>0</v>
      </c>
      <c r="AV200" s="1">
        <f t="shared" si="354"/>
        <v>0</v>
      </c>
      <c r="AW200" s="1">
        <f t="shared" si="354"/>
        <v>0</v>
      </c>
      <c r="AX200" s="1">
        <f t="shared" si="354"/>
        <v>0</v>
      </c>
      <c r="AY200" s="1">
        <f t="shared" si="354"/>
        <v>0</v>
      </c>
      <c r="AZ200" s="1">
        <f t="shared" si="354"/>
        <v>0</v>
      </c>
      <c r="BA200" s="1">
        <f t="shared" si="354"/>
        <v>0</v>
      </c>
      <c r="BB200" s="1">
        <f t="shared" si="354"/>
        <v>0</v>
      </c>
      <c r="BC200" s="1">
        <f t="shared" si="354"/>
        <v>0</v>
      </c>
      <c r="BD200" s="1">
        <f t="shared" si="354"/>
        <v>0</v>
      </c>
      <c r="BF200" s="1">
        <f t="shared" ref="BF200:BZ200" si="355">+BF189-BF199</f>
        <v>0</v>
      </c>
      <c r="BG200" s="1">
        <f t="shared" si="355"/>
        <v>0</v>
      </c>
      <c r="BH200" s="1">
        <f t="shared" si="355"/>
        <v>0</v>
      </c>
      <c r="BI200" s="1">
        <f t="shared" si="355"/>
        <v>0</v>
      </c>
      <c r="BJ200" s="1">
        <f t="shared" si="355"/>
        <v>0</v>
      </c>
      <c r="BK200" s="1">
        <f t="shared" si="355"/>
        <v>0</v>
      </c>
      <c r="BL200" s="1">
        <f t="shared" si="355"/>
        <v>0</v>
      </c>
      <c r="BM200" s="1">
        <f t="shared" si="355"/>
        <v>0</v>
      </c>
      <c r="BN200" s="1">
        <f t="shared" si="355"/>
        <v>0</v>
      </c>
      <c r="BO200" s="1">
        <f t="shared" si="355"/>
        <v>0</v>
      </c>
      <c r="BP200" s="1">
        <f t="shared" si="355"/>
        <v>0</v>
      </c>
      <c r="BQ200" s="1">
        <f t="shared" si="355"/>
        <v>0</v>
      </c>
      <c r="BR200" s="1">
        <f t="shared" si="355"/>
        <v>0</v>
      </c>
      <c r="BS200" s="1">
        <f t="shared" si="355"/>
        <v>0</v>
      </c>
      <c r="BT200" s="1">
        <f t="shared" si="355"/>
        <v>0</v>
      </c>
      <c r="BU200" s="1">
        <f t="shared" si="355"/>
        <v>0</v>
      </c>
      <c r="BV200" s="1">
        <f t="shared" si="355"/>
        <v>0</v>
      </c>
      <c r="BW200" s="1">
        <f t="shared" si="355"/>
        <v>0</v>
      </c>
      <c r="BX200" s="1">
        <f t="shared" si="355"/>
        <v>0</v>
      </c>
      <c r="BY200" s="1">
        <f t="shared" si="355"/>
        <v>0</v>
      </c>
      <c r="BZ200" s="1">
        <f t="shared" si="355"/>
        <v>0</v>
      </c>
      <c r="CB200" s="1">
        <f t="shared" ref="CB200:CV200" si="356">+CB189-CB199</f>
        <v>0</v>
      </c>
      <c r="CC200" s="1">
        <f t="shared" si="356"/>
        <v>0</v>
      </c>
      <c r="CD200" s="1">
        <f t="shared" si="356"/>
        <v>0</v>
      </c>
      <c r="CE200" s="1">
        <f t="shared" si="356"/>
        <v>0</v>
      </c>
      <c r="CF200" s="1">
        <f t="shared" si="356"/>
        <v>0</v>
      </c>
      <c r="CG200" s="1">
        <f t="shared" si="356"/>
        <v>0</v>
      </c>
      <c r="CH200" s="1">
        <f t="shared" si="356"/>
        <v>0</v>
      </c>
      <c r="CI200" s="1">
        <f t="shared" si="356"/>
        <v>0</v>
      </c>
      <c r="CJ200" s="1">
        <f t="shared" si="356"/>
        <v>0</v>
      </c>
      <c r="CK200" s="1">
        <f t="shared" si="356"/>
        <v>0</v>
      </c>
      <c r="CL200" s="1">
        <f t="shared" si="356"/>
        <v>0</v>
      </c>
      <c r="CM200" s="1">
        <f t="shared" si="356"/>
        <v>0</v>
      </c>
      <c r="CN200" s="1">
        <f t="shared" si="356"/>
        <v>0</v>
      </c>
      <c r="CO200" s="1">
        <f t="shared" si="356"/>
        <v>0</v>
      </c>
      <c r="CP200" s="1">
        <f t="shared" si="356"/>
        <v>0</v>
      </c>
      <c r="CQ200" s="1">
        <f t="shared" si="356"/>
        <v>0</v>
      </c>
      <c r="CR200" s="1">
        <f t="shared" si="356"/>
        <v>0</v>
      </c>
      <c r="CS200" s="1">
        <f t="shared" si="356"/>
        <v>0</v>
      </c>
      <c r="CT200" s="1">
        <f t="shared" si="356"/>
        <v>0</v>
      </c>
      <c r="CU200" s="1">
        <f t="shared" si="356"/>
        <v>0</v>
      </c>
      <c r="CV200" s="1">
        <f t="shared" si="356"/>
        <v>0</v>
      </c>
      <c r="CW200" s="1"/>
      <c r="CX200" s="1">
        <f t="shared" ref="CX200:DR200" ca="1" si="357">+CX189-CX199</f>
        <v>0</v>
      </c>
      <c r="CY200" s="1">
        <f t="shared" si="357"/>
        <v>0</v>
      </c>
      <c r="CZ200" s="1">
        <f t="shared" ca="1" si="357"/>
        <v>0</v>
      </c>
      <c r="DA200" s="1">
        <f t="shared" si="357"/>
        <v>0</v>
      </c>
      <c r="DB200" s="1">
        <f t="shared" si="357"/>
        <v>0</v>
      </c>
      <c r="DC200" s="1">
        <f t="shared" si="357"/>
        <v>0</v>
      </c>
      <c r="DD200" s="1">
        <f t="shared" si="357"/>
        <v>0</v>
      </c>
      <c r="DE200" s="1">
        <f t="shared" si="357"/>
        <v>0</v>
      </c>
      <c r="DF200" s="1">
        <f t="shared" si="357"/>
        <v>0</v>
      </c>
      <c r="DG200" s="1">
        <f t="shared" si="357"/>
        <v>0</v>
      </c>
      <c r="DH200" s="1">
        <f t="shared" si="357"/>
        <v>0</v>
      </c>
      <c r="DI200" s="1">
        <f t="shared" si="357"/>
        <v>0</v>
      </c>
      <c r="DJ200" s="1">
        <f t="shared" si="357"/>
        <v>0</v>
      </c>
      <c r="DK200" s="1">
        <f t="shared" si="357"/>
        <v>0</v>
      </c>
      <c r="DL200" s="1">
        <f t="shared" si="357"/>
        <v>0</v>
      </c>
      <c r="DM200" s="1">
        <f t="shared" si="357"/>
        <v>0</v>
      </c>
      <c r="DN200" s="1">
        <f t="shared" si="357"/>
        <v>0</v>
      </c>
      <c r="DO200" s="1">
        <f t="shared" si="357"/>
        <v>0</v>
      </c>
      <c r="DP200" s="1">
        <f t="shared" si="357"/>
        <v>0</v>
      </c>
      <c r="DQ200" s="1">
        <f t="shared" si="357"/>
        <v>0</v>
      </c>
      <c r="DR200" s="1">
        <f t="shared" si="357"/>
        <v>0</v>
      </c>
    </row>
    <row r="201" spans="3:122" x14ac:dyDescent="0.25"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>
        <f>+AJ199+BF199</f>
        <v>25017593474</v>
      </c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>
        <f ca="1">+CB199+CX199</f>
        <v>25017593474</v>
      </c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</row>
    <row r="202" spans="3:122" x14ac:dyDescent="0.25">
      <c r="D202" s="6"/>
      <c r="F202" s="1"/>
      <c r="G202" s="1"/>
      <c r="H202" s="1"/>
      <c r="I202" s="1"/>
      <c r="J202" s="1"/>
      <c r="K202" s="1"/>
      <c r="L202" s="1"/>
      <c r="M202" s="5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</row>
    <row r="203" spans="3:122" x14ac:dyDescent="0.25">
      <c r="D203" s="3"/>
      <c r="M203" s="2"/>
      <c r="N203" s="1"/>
      <c r="O203" s="1"/>
      <c r="P203" s="1"/>
      <c r="Q203" s="1"/>
      <c r="R203" s="1"/>
      <c r="S203" s="4"/>
      <c r="AC203" s="1"/>
      <c r="AF203" s="1"/>
      <c r="AG203" s="1"/>
      <c r="AJ203" s="1"/>
      <c r="AK203" s="1"/>
      <c r="AL203" s="1"/>
      <c r="AM203" s="1"/>
      <c r="CB203" s="1"/>
      <c r="CC203" s="1"/>
      <c r="CV203" s="1"/>
      <c r="CX203" s="1"/>
      <c r="CY203" s="1"/>
    </row>
    <row r="204" spans="3:122" x14ac:dyDescent="0.25">
      <c r="D204" s="3"/>
      <c r="M204" s="2"/>
      <c r="N204" s="1"/>
      <c r="O204" s="1"/>
      <c r="P204" s="1"/>
      <c r="Q204" s="1"/>
      <c r="R204" s="1"/>
      <c r="AG204" s="1"/>
      <c r="AJ204" s="1"/>
      <c r="CV204" s="1"/>
      <c r="CX204" s="1"/>
      <c r="CY204" s="1"/>
    </row>
    <row r="205" spans="3:122" x14ac:dyDescent="0.25">
      <c r="D205" s="3"/>
      <c r="M205" s="2"/>
      <c r="O205" s="1"/>
      <c r="AB205" s="1"/>
      <c r="AJ205" s="1"/>
    </row>
    <row r="206" spans="3:122" x14ac:dyDescent="0.25">
      <c r="D206" s="3"/>
      <c r="M206" s="2"/>
      <c r="AB206" s="1"/>
      <c r="AJ206" s="1"/>
      <c r="CB206" s="1"/>
    </row>
    <row r="207" spans="3:122" x14ac:dyDescent="0.25">
      <c r="D207" s="3"/>
      <c r="M207" s="2"/>
      <c r="O207" s="1"/>
      <c r="Q207" s="1"/>
    </row>
    <row r="208" spans="3:122" x14ac:dyDescent="0.25">
      <c r="D208" s="3"/>
      <c r="M208" s="2"/>
      <c r="Q208" s="1"/>
    </row>
    <row r="209" spans="15:15" x14ac:dyDescent="0.25">
      <c r="O209" s="1"/>
    </row>
  </sheetData>
  <mergeCells count="112">
    <mergeCell ref="DI1:DJ2"/>
    <mergeCell ref="DK1:DL2"/>
    <mergeCell ref="DM1:DN2"/>
    <mergeCell ref="DO1:DP2"/>
    <mergeCell ref="DQ1:DR2"/>
    <mergeCell ref="CW1:CX2"/>
    <mergeCell ref="CY1:CZ2"/>
    <mergeCell ref="DA1:DB2"/>
    <mergeCell ref="DC1:DD2"/>
    <mergeCell ref="DE1:DF2"/>
    <mergeCell ref="DG1:DH2"/>
    <mergeCell ref="AW1:AX2"/>
    <mergeCell ref="AY1:AZ2"/>
    <mergeCell ref="BA1:BB2"/>
    <mergeCell ref="BC1:BD2"/>
    <mergeCell ref="BE1:BF2"/>
    <mergeCell ref="CA1:CB2"/>
    <mergeCell ref="AK1:AL2"/>
    <mergeCell ref="AM1:AN2"/>
    <mergeCell ref="AO1:AP2"/>
    <mergeCell ref="AQ1:AR2"/>
    <mergeCell ref="AS1:AT2"/>
    <mergeCell ref="AU1:AV2"/>
    <mergeCell ref="AC1:AC3"/>
    <mergeCell ref="AD1:AD3"/>
    <mergeCell ref="AE1:AE3"/>
    <mergeCell ref="AF1:AF3"/>
    <mergeCell ref="AG1:AG3"/>
    <mergeCell ref="AI1:AJ2"/>
    <mergeCell ref="W1:W3"/>
    <mergeCell ref="X1:X3"/>
    <mergeCell ref="Y1:Y3"/>
    <mergeCell ref="Z1:Z3"/>
    <mergeCell ref="AA1:AA3"/>
    <mergeCell ref="AB1:AB3"/>
    <mergeCell ref="G184:G185"/>
    <mergeCell ref="B187:D187"/>
    <mergeCell ref="C189:E189"/>
    <mergeCell ref="C199:D199"/>
    <mergeCell ref="M1:M3"/>
    <mergeCell ref="N1:N3"/>
    <mergeCell ref="B103:F103"/>
    <mergeCell ref="A105:A120"/>
    <mergeCell ref="G105:G113"/>
    <mergeCell ref="G117:G119"/>
    <mergeCell ref="B121:F121"/>
    <mergeCell ref="A122:A186"/>
    <mergeCell ref="G122:G123"/>
    <mergeCell ref="G124:G168"/>
    <mergeCell ref="G169:G176"/>
    <mergeCell ref="G178:G182"/>
    <mergeCell ref="B67:E67"/>
    <mergeCell ref="A68:A102"/>
    <mergeCell ref="G68:G73"/>
    <mergeCell ref="G74:G76"/>
    <mergeCell ref="G77:G88"/>
    <mergeCell ref="G89:G92"/>
    <mergeCell ref="G93:G94"/>
    <mergeCell ref="G95:G98"/>
    <mergeCell ref="G100:G102"/>
    <mergeCell ref="A35:A66"/>
    <mergeCell ref="G35:G37"/>
    <mergeCell ref="G38:G43"/>
    <mergeCell ref="G44:G47"/>
    <mergeCell ref="G48:G52"/>
    <mergeCell ref="G53:G55"/>
    <mergeCell ref="G56:G57"/>
    <mergeCell ref="G58:G59"/>
    <mergeCell ref="G61:G66"/>
    <mergeCell ref="B34:E34"/>
    <mergeCell ref="G24:G26"/>
    <mergeCell ref="J24:J26"/>
    <mergeCell ref="K24:K26"/>
    <mergeCell ref="L24:L26"/>
    <mergeCell ref="G27:G29"/>
    <mergeCell ref="J27:J29"/>
    <mergeCell ref="K27:K29"/>
    <mergeCell ref="L27:L29"/>
    <mergeCell ref="G17:G21"/>
    <mergeCell ref="J17:J21"/>
    <mergeCell ref="K17:K21"/>
    <mergeCell ref="L17:L21"/>
    <mergeCell ref="G22:G23"/>
    <mergeCell ref="J22:J23"/>
    <mergeCell ref="A4:A33"/>
    <mergeCell ref="G4:G9"/>
    <mergeCell ref="J4:J9"/>
    <mergeCell ref="K4:K9"/>
    <mergeCell ref="L4:L9"/>
    <mergeCell ref="G10:G16"/>
    <mergeCell ref="J10:J16"/>
    <mergeCell ref="K10:K16"/>
    <mergeCell ref="B30:B33"/>
    <mergeCell ref="G30:G33"/>
    <mergeCell ref="J30:J33"/>
    <mergeCell ref="K30:K33"/>
    <mergeCell ref="L30:L33"/>
    <mergeCell ref="S1:S3"/>
    <mergeCell ref="T1:T3"/>
    <mergeCell ref="U1:U3"/>
    <mergeCell ref="V1:V3"/>
    <mergeCell ref="O1:O3"/>
    <mergeCell ref="P1:P3"/>
    <mergeCell ref="Q1:Q3"/>
    <mergeCell ref="R1:R3"/>
    <mergeCell ref="A2:A3"/>
    <mergeCell ref="B2:B3"/>
    <mergeCell ref="C2:C3"/>
    <mergeCell ref="D2:D3"/>
    <mergeCell ref="E2:E3"/>
    <mergeCell ref="F2:F3"/>
    <mergeCell ref="C1:F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A 31 DE AGOSTO DE  2015
 RESOLUCION  193 DEL 28 DE AGOSTO DE 2015</oddHeader>
    <oddFooter>&amp;LUNIDAD DE PLANEAMIENTO ECONÓMICO Y ADMINISTRATIVO&amp;COFICINA DE PLANEACIÓN&amp;RPágina &amp;P de &amp;N</oddFooter>
  </headerFooter>
  <rowBreaks count="1" manualBreakCount="1">
    <brk id="38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C271"/>
  <sheetViews>
    <sheetView tabSelected="1" topLeftCell="C196" zoomScaleNormal="100" zoomScalePageLayoutView="50" workbookViewId="0">
      <selection activeCell="DU216" sqref="DU216"/>
    </sheetView>
  </sheetViews>
  <sheetFormatPr baseColWidth="10" defaultColWidth="11.42578125" defaultRowHeight="15" x14ac:dyDescent="0.25"/>
  <cols>
    <col min="1" max="1" width="12.85546875" hidden="1" customWidth="1"/>
    <col min="2" max="2" width="23.28515625" hidden="1" customWidth="1"/>
    <col min="3" max="3" width="10.140625" customWidth="1"/>
    <col min="4" max="4" width="41.5703125" customWidth="1"/>
    <col min="5" max="5" width="12.5703125" customWidth="1"/>
    <col min="6" max="6" width="20.42578125" customWidth="1"/>
    <col min="7" max="9" width="12.5703125" hidden="1" customWidth="1"/>
    <col min="10" max="10" width="17.140625" hidden="1" customWidth="1"/>
    <col min="11" max="11" width="14.5703125" hidden="1" customWidth="1"/>
    <col min="12" max="12" width="3.28515625" hidden="1" customWidth="1"/>
    <col min="13" max="13" width="17.85546875" customWidth="1"/>
    <col min="14" max="14" width="13.28515625" hidden="1" customWidth="1"/>
    <col min="15" max="16" width="13.42578125" hidden="1" customWidth="1"/>
    <col min="17" max="17" width="14.42578125" hidden="1" customWidth="1"/>
    <col min="18" max="18" width="12.7109375" hidden="1" customWidth="1"/>
    <col min="19" max="19" width="13.7109375" hidden="1" customWidth="1"/>
    <col min="20" max="20" width="14.7109375" hidden="1" customWidth="1"/>
    <col min="21" max="21" width="12.85546875" hidden="1" customWidth="1"/>
    <col min="22" max="22" width="11.85546875" hidden="1" customWidth="1"/>
    <col min="23" max="23" width="11.42578125" hidden="1" customWidth="1"/>
    <col min="24" max="24" width="10.7109375" hidden="1" customWidth="1"/>
    <col min="25" max="25" width="12.42578125" hidden="1" customWidth="1"/>
    <col min="26" max="26" width="13.5703125" hidden="1" customWidth="1"/>
    <col min="27" max="27" width="14.42578125" hidden="1" customWidth="1"/>
    <col min="28" max="28" width="14.140625" hidden="1" customWidth="1"/>
    <col min="29" max="29" width="12.5703125" hidden="1" customWidth="1"/>
    <col min="30" max="30" width="14" hidden="1" customWidth="1"/>
    <col min="31" max="31" width="12.28515625" hidden="1" customWidth="1"/>
    <col min="32" max="32" width="12" hidden="1" customWidth="1"/>
    <col min="33" max="33" width="14.42578125" hidden="1" customWidth="1"/>
    <col min="34" max="34" width="1.140625" customWidth="1"/>
    <col min="35" max="35" width="11.85546875" customWidth="1"/>
    <col min="36" max="36" width="16.140625" customWidth="1"/>
    <col min="37" max="37" width="15.5703125" hidden="1" customWidth="1"/>
    <col min="38" max="39" width="13.5703125" hidden="1" customWidth="1"/>
    <col min="40" max="40" width="14" hidden="1" customWidth="1"/>
    <col min="41" max="41" width="17.28515625" hidden="1" customWidth="1"/>
    <col min="42" max="42" width="16.1406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8" width="14.42578125" hidden="1" customWidth="1"/>
    <col min="49" max="49" width="14.140625" hidden="1" customWidth="1"/>
    <col min="50" max="50" width="13.28515625" hidden="1" customWidth="1"/>
    <col min="51" max="51" width="13.5703125" hidden="1" customWidth="1"/>
    <col min="52" max="52" width="13.42578125" hidden="1" customWidth="1"/>
    <col min="53" max="53" width="17.7109375" hidden="1" customWidth="1"/>
    <col min="54" max="54" width="14.85546875" hidden="1" customWidth="1"/>
    <col min="55" max="55" width="15.5703125" hidden="1" customWidth="1"/>
    <col min="56" max="56" width="13.85546875" hidden="1" customWidth="1"/>
    <col min="57" max="57" width="9.5703125" customWidth="1"/>
    <col min="58" max="58" width="14.28515625" customWidth="1"/>
    <col min="59" max="59" width="15.85546875" hidden="1" customWidth="1"/>
    <col min="60" max="61" width="14" hidden="1" customWidth="1"/>
    <col min="62" max="62" width="15.140625" hidden="1" customWidth="1"/>
    <col min="63" max="63" width="16.5703125" hidden="1" customWidth="1"/>
    <col min="64" max="64" width="13.5703125" hidden="1" customWidth="1"/>
    <col min="65" max="66" width="13.85546875" hidden="1" customWidth="1"/>
    <col min="67" max="68" width="12.28515625" hidden="1" customWidth="1"/>
    <col min="69" max="69" width="11.140625" hidden="1" customWidth="1"/>
    <col min="70" max="70" width="12.5703125" hidden="1" customWidth="1"/>
    <col min="71" max="71" width="13.5703125" hidden="1" customWidth="1"/>
    <col min="72" max="72" width="15.140625" hidden="1" customWidth="1"/>
    <col min="73" max="73" width="13.85546875" hidden="1" customWidth="1"/>
    <col min="74" max="74" width="15" hidden="1" customWidth="1"/>
    <col min="75" max="75" width="13.42578125" hidden="1" customWidth="1"/>
    <col min="76" max="76" width="13.5703125" hidden="1" customWidth="1"/>
    <col min="77" max="77" width="13.7109375" hidden="1" customWidth="1"/>
    <col min="78" max="78" width="14" hidden="1" customWidth="1"/>
    <col min="79" max="79" width="10.28515625" customWidth="1"/>
    <col min="80" max="80" width="15.7109375" customWidth="1"/>
    <col min="81" max="81" width="14.42578125" hidden="1" customWidth="1"/>
    <col min="82" max="83" width="12.28515625" hidden="1" customWidth="1"/>
    <col min="84" max="84" width="13.28515625" hidden="1" customWidth="1"/>
    <col min="85" max="85" width="14" hidden="1" customWidth="1"/>
    <col min="86" max="86" width="15.42578125" hidden="1" customWidth="1"/>
    <col min="87" max="87" width="15.28515625" hidden="1" customWidth="1"/>
    <col min="88" max="88" width="12.42578125" hidden="1" customWidth="1"/>
    <col min="89" max="89" width="11.7109375" hidden="1" customWidth="1"/>
    <col min="90" max="90" width="13.42578125" hidden="1" customWidth="1"/>
    <col min="91" max="91" width="11.42578125" hidden="1" customWidth="1"/>
    <col min="92" max="92" width="15.7109375" hidden="1" customWidth="1"/>
    <col min="93" max="93" width="16.28515625" hidden="1" customWidth="1"/>
    <col min="94" max="94" width="16.5703125" hidden="1" customWidth="1"/>
    <col min="95" max="95" width="17.140625" hidden="1" customWidth="1"/>
    <col min="96" max="96" width="13" hidden="1" customWidth="1"/>
    <col min="97" max="97" width="14.28515625" hidden="1" customWidth="1"/>
    <col min="98" max="98" width="13.7109375" hidden="1" customWidth="1"/>
    <col min="99" max="99" width="12.28515625" hidden="1" customWidth="1"/>
    <col min="100" max="100" width="13.42578125" hidden="1" customWidth="1"/>
    <col min="101" max="101" width="10.85546875" customWidth="1"/>
    <col min="102" max="102" width="15" customWidth="1"/>
    <col min="103" max="103" width="16" hidden="1" customWidth="1"/>
    <col min="104" max="105" width="13.7109375" hidden="1" customWidth="1"/>
    <col min="106" max="106" width="14.42578125" hidden="1" customWidth="1"/>
    <col min="107" max="107" width="15.5703125" hidden="1" customWidth="1"/>
    <col min="108" max="110" width="13.5703125" hidden="1" customWidth="1"/>
    <col min="111" max="112" width="13.85546875" hidden="1" customWidth="1"/>
    <col min="113" max="113" width="11.42578125" hidden="1" customWidth="1"/>
    <col min="114" max="114" width="13.7109375" hidden="1" customWidth="1"/>
    <col min="115" max="115" width="13.85546875" hidden="1" customWidth="1"/>
    <col min="116" max="116" width="12.28515625" hidden="1" customWidth="1"/>
    <col min="117" max="117" width="13.85546875" hidden="1" customWidth="1"/>
    <col min="118" max="118" width="16.5703125" hidden="1" customWidth="1"/>
    <col min="119" max="119" width="14.42578125" hidden="1" customWidth="1"/>
    <col min="120" max="121" width="14.85546875" hidden="1" customWidth="1"/>
    <col min="122" max="122" width="13.5703125" hidden="1" customWidth="1"/>
    <col min="124" max="124" width="38.85546875" style="68" customWidth="1"/>
    <col min="125" max="125" width="19.140625" style="68" customWidth="1"/>
    <col min="126" max="126" width="20.7109375" style="68" customWidth="1"/>
    <col min="127" max="127" width="11.42578125" style="68"/>
  </cols>
  <sheetData>
    <row r="1" spans="1:122" ht="18" customHeight="1" x14ac:dyDescent="0.3">
      <c r="C1" s="202" t="s">
        <v>560</v>
      </c>
      <c r="D1" s="203"/>
      <c r="E1" s="203"/>
      <c r="F1" s="204"/>
      <c r="G1" s="170"/>
      <c r="H1" s="170"/>
      <c r="I1" s="170"/>
      <c r="J1" s="170"/>
      <c r="K1" s="170"/>
      <c r="L1" s="170"/>
      <c r="M1" s="259" t="s">
        <v>549</v>
      </c>
      <c r="N1" s="259" t="s">
        <v>549</v>
      </c>
      <c r="O1" s="259" t="s">
        <v>549</v>
      </c>
      <c r="P1" s="259" t="s">
        <v>549</v>
      </c>
      <c r="Q1" s="259" t="s">
        <v>549</v>
      </c>
      <c r="R1" s="259" t="s">
        <v>549</v>
      </c>
      <c r="S1" s="259" t="s">
        <v>549</v>
      </c>
      <c r="T1" s="259" t="s">
        <v>549</v>
      </c>
      <c r="U1" s="259" t="s">
        <v>549</v>
      </c>
      <c r="V1" s="259" t="s">
        <v>549</v>
      </c>
      <c r="W1" s="259" t="s">
        <v>549</v>
      </c>
      <c r="X1" s="259" t="s">
        <v>549</v>
      </c>
      <c r="Y1" s="259" t="s">
        <v>549</v>
      </c>
      <c r="Z1" s="259" t="s">
        <v>549</v>
      </c>
      <c r="AA1" s="259" t="s">
        <v>549</v>
      </c>
      <c r="AB1" s="259" t="s">
        <v>549</v>
      </c>
      <c r="AC1" s="259" t="s">
        <v>549</v>
      </c>
      <c r="AD1" s="259" t="s">
        <v>549</v>
      </c>
      <c r="AE1" s="259" t="s">
        <v>549</v>
      </c>
      <c r="AF1" s="259" t="s">
        <v>549</v>
      </c>
      <c r="AG1" s="259" t="s">
        <v>549</v>
      </c>
      <c r="AI1" s="262" t="s">
        <v>561</v>
      </c>
      <c r="AJ1" s="262"/>
      <c r="AK1" s="262" t="s">
        <v>561</v>
      </c>
      <c r="AL1" s="262"/>
      <c r="AM1" s="262" t="s">
        <v>561</v>
      </c>
      <c r="AN1" s="262"/>
      <c r="AO1" s="262" t="s">
        <v>561</v>
      </c>
      <c r="AP1" s="262"/>
      <c r="AQ1" s="262" t="s">
        <v>561</v>
      </c>
      <c r="AR1" s="262"/>
      <c r="AS1" s="262" t="s">
        <v>561</v>
      </c>
      <c r="AT1" s="262"/>
      <c r="AU1" s="262" t="s">
        <v>561</v>
      </c>
      <c r="AV1" s="262"/>
      <c r="AW1" s="262" t="s">
        <v>561</v>
      </c>
      <c r="AX1" s="262"/>
      <c r="AY1" s="262" t="s">
        <v>561</v>
      </c>
      <c r="AZ1" s="262"/>
      <c r="BA1" s="262" t="s">
        <v>561</v>
      </c>
      <c r="BB1" s="262"/>
      <c r="BC1" s="262" t="s">
        <v>561</v>
      </c>
      <c r="BD1" s="262"/>
      <c r="BE1" s="263" t="s">
        <v>563</v>
      </c>
      <c r="BF1" s="264"/>
      <c r="BG1" s="167"/>
      <c r="BH1" s="174" t="s">
        <v>556</v>
      </c>
      <c r="BI1" s="175"/>
      <c r="BJ1" s="175"/>
      <c r="BK1" s="175"/>
      <c r="BL1" s="175"/>
      <c r="BM1" s="175"/>
      <c r="BN1" s="175"/>
      <c r="BO1" s="175"/>
      <c r="BP1" s="175"/>
      <c r="BQ1" s="175"/>
      <c r="BR1" s="175"/>
      <c r="BS1" s="175"/>
      <c r="BT1" s="175"/>
      <c r="BU1" s="175"/>
      <c r="BV1" s="175"/>
      <c r="BW1" s="175"/>
      <c r="BX1" s="175"/>
      <c r="BY1" s="175"/>
      <c r="BZ1" s="175"/>
      <c r="CA1" s="262" t="s">
        <v>564</v>
      </c>
      <c r="CB1" s="262"/>
      <c r="CC1" s="175"/>
      <c r="CD1" s="175"/>
      <c r="CE1" s="175"/>
      <c r="CF1" s="175"/>
      <c r="CG1" s="175"/>
      <c r="CH1" s="175"/>
      <c r="CI1" s="175"/>
      <c r="CJ1" s="175"/>
      <c r="CK1" s="175"/>
      <c r="CL1" s="175"/>
      <c r="CM1" s="175"/>
      <c r="CN1" s="175"/>
      <c r="CO1" s="175"/>
      <c r="CP1" s="175"/>
      <c r="CQ1" s="175"/>
      <c r="CR1" s="175"/>
      <c r="CS1" s="175"/>
      <c r="CT1" s="175"/>
      <c r="CU1" s="175"/>
      <c r="CV1" s="176"/>
      <c r="CW1" s="267" t="s">
        <v>565</v>
      </c>
      <c r="CX1" s="268"/>
      <c r="CY1" s="267" t="s">
        <v>565</v>
      </c>
      <c r="CZ1" s="268"/>
      <c r="DA1" s="267" t="s">
        <v>565</v>
      </c>
      <c r="DB1" s="268"/>
      <c r="DC1" s="267" t="s">
        <v>565</v>
      </c>
      <c r="DD1" s="268"/>
      <c r="DE1" s="267" t="s">
        <v>565</v>
      </c>
      <c r="DF1" s="268"/>
      <c r="DG1" s="267" t="s">
        <v>565</v>
      </c>
      <c r="DH1" s="268"/>
      <c r="DI1" s="267" t="s">
        <v>565</v>
      </c>
      <c r="DJ1" s="268"/>
      <c r="DK1" s="267" t="s">
        <v>565</v>
      </c>
      <c r="DL1" s="268"/>
      <c r="DM1" s="267" t="s">
        <v>565</v>
      </c>
      <c r="DN1" s="268"/>
      <c r="DO1" s="267" t="s">
        <v>565</v>
      </c>
      <c r="DP1" s="268"/>
      <c r="DQ1" s="267" t="s">
        <v>565</v>
      </c>
      <c r="DR1" s="268"/>
    </row>
    <row r="2" spans="1:122" ht="15.6" customHeight="1" x14ac:dyDescent="0.25">
      <c r="A2" s="217" t="s">
        <v>555</v>
      </c>
      <c r="B2" s="200" t="s">
        <v>554</v>
      </c>
      <c r="C2" s="218" t="s">
        <v>553</v>
      </c>
      <c r="D2" s="217" t="s">
        <v>552</v>
      </c>
      <c r="E2" s="220" t="s">
        <v>551</v>
      </c>
      <c r="F2" s="200" t="s">
        <v>550</v>
      </c>
      <c r="G2" s="165"/>
      <c r="H2" s="165"/>
      <c r="I2" s="165"/>
      <c r="J2" s="165"/>
      <c r="K2" s="165"/>
      <c r="L2" s="165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  <c r="AD2" s="260"/>
      <c r="AE2" s="260"/>
      <c r="AF2" s="260"/>
      <c r="AG2" s="260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5"/>
      <c r="BF2" s="266"/>
      <c r="BG2" s="161"/>
      <c r="BH2" s="161" t="s">
        <v>547</v>
      </c>
      <c r="BI2" s="177"/>
      <c r="BJ2" s="177"/>
      <c r="BK2" s="177"/>
      <c r="BL2" s="177"/>
      <c r="BM2" s="177"/>
      <c r="BN2" s="177"/>
      <c r="BO2" s="177"/>
      <c r="BP2" s="177"/>
      <c r="BQ2" s="178"/>
      <c r="BR2" s="161" t="s">
        <v>547</v>
      </c>
      <c r="BS2" s="177"/>
      <c r="BT2" s="177"/>
      <c r="BU2" s="177"/>
      <c r="BV2" s="177"/>
      <c r="BW2" s="177"/>
      <c r="BX2" s="177"/>
      <c r="BY2" s="177"/>
      <c r="BZ2" s="178"/>
      <c r="CA2" s="262"/>
      <c r="CB2" s="262"/>
      <c r="CC2" s="158"/>
      <c r="CD2" s="179" t="s">
        <v>545</v>
      </c>
      <c r="CE2" s="157"/>
      <c r="CF2" s="157"/>
      <c r="CG2" s="157"/>
      <c r="CH2" s="157"/>
      <c r="CI2" s="157"/>
      <c r="CJ2" s="157"/>
      <c r="CK2" s="157"/>
      <c r="CL2" s="157"/>
      <c r="CM2" s="157"/>
      <c r="CN2" s="157"/>
      <c r="CO2" s="157"/>
      <c r="CP2" s="179" t="s">
        <v>545</v>
      </c>
      <c r="CQ2" s="157"/>
      <c r="CR2" s="157"/>
      <c r="CS2" s="157"/>
      <c r="CT2" s="157"/>
      <c r="CU2" s="157"/>
      <c r="CV2" s="180"/>
      <c r="CW2" s="269"/>
      <c r="CX2" s="270"/>
      <c r="CY2" s="269"/>
      <c r="CZ2" s="270"/>
      <c r="DA2" s="269"/>
      <c r="DB2" s="270"/>
      <c r="DC2" s="269"/>
      <c r="DD2" s="270"/>
      <c r="DE2" s="269"/>
      <c r="DF2" s="270"/>
      <c r="DG2" s="269"/>
      <c r="DH2" s="270"/>
      <c r="DI2" s="269"/>
      <c r="DJ2" s="270"/>
      <c r="DK2" s="269"/>
      <c r="DL2" s="270"/>
      <c r="DM2" s="269"/>
      <c r="DN2" s="270"/>
      <c r="DO2" s="269"/>
      <c r="DP2" s="270"/>
      <c r="DQ2" s="269"/>
      <c r="DR2" s="270"/>
    </row>
    <row r="3" spans="1:122" ht="43.5" customHeight="1" x14ac:dyDescent="0.25">
      <c r="A3" s="217"/>
      <c r="B3" s="201"/>
      <c r="C3" s="219"/>
      <c r="D3" s="217"/>
      <c r="E3" s="221"/>
      <c r="F3" s="201"/>
      <c r="G3" s="155" t="s">
        <v>546</v>
      </c>
      <c r="H3" s="155" t="s">
        <v>545</v>
      </c>
      <c r="I3" s="155" t="s">
        <v>544</v>
      </c>
      <c r="J3" s="155" t="s">
        <v>543</v>
      </c>
      <c r="K3" s="155" t="s">
        <v>542</v>
      </c>
      <c r="L3" s="155" t="s">
        <v>541</v>
      </c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I3" s="172" t="s">
        <v>539</v>
      </c>
      <c r="AJ3" s="172" t="s">
        <v>562</v>
      </c>
      <c r="AK3" s="172" t="s">
        <v>539</v>
      </c>
      <c r="AL3" s="172" t="s">
        <v>562</v>
      </c>
      <c r="AM3" s="172" t="s">
        <v>539</v>
      </c>
      <c r="AN3" s="172" t="s">
        <v>562</v>
      </c>
      <c r="AO3" s="172" t="s">
        <v>539</v>
      </c>
      <c r="AP3" s="172" t="s">
        <v>562</v>
      </c>
      <c r="AQ3" s="172" t="s">
        <v>539</v>
      </c>
      <c r="AR3" s="172" t="s">
        <v>562</v>
      </c>
      <c r="AS3" s="172" t="s">
        <v>539</v>
      </c>
      <c r="AT3" s="172" t="s">
        <v>562</v>
      </c>
      <c r="AU3" s="172" t="s">
        <v>539</v>
      </c>
      <c r="AV3" s="172" t="s">
        <v>562</v>
      </c>
      <c r="AW3" s="172" t="s">
        <v>539</v>
      </c>
      <c r="AX3" s="172" t="s">
        <v>562</v>
      </c>
      <c r="AY3" s="172" t="s">
        <v>539</v>
      </c>
      <c r="AZ3" s="172" t="s">
        <v>562</v>
      </c>
      <c r="BA3" s="172" t="s">
        <v>539</v>
      </c>
      <c r="BB3" s="172" t="s">
        <v>562</v>
      </c>
      <c r="BC3" s="172" t="s">
        <v>539</v>
      </c>
      <c r="BD3" s="172" t="s">
        <v>562</v>
      </c>
      <c r="BE3" s="173" t="s">
        <v>539</v>
      </c>
      <c r="BF3" s="173" t="s">
        <v>562</v>
      </c>
      <c r="BG3" s="147" t="s">
        <v>537</v>
      </c>
      <c r="BH3" s="147" t="s">
        <v>536</v>
      </c>
      <c r="BI3" s="147" t="s">
        <v>535</v>
      </c>
      <c r="BJ3" s="147" t="s">
        <v>534</v>
      </c>
      <c r="BK3" s="147" t="s">
        <v>533</v>
      </c>
      <c r="BL3" s="147" t="s">
        <v>532</v>
      </c>
      <c r="BM3" s="147" t="s">
        <v>531</v>
      </c>
      <c r="BN3" s="147" t="s">
        <v>530</v>
      </c>
      <c r="BO3" s="147" t="s">
        <v>529</v>
      </c>
      <c r="BP3" s="147" t="s">
        <v>528</v>
      </c>
      <c r="BQ3" s="147" t="s">
        <v>527</v>
      </c>
      <c r="BR3" s="147" t="s">
        <v>526</v>
      </c>
      <c r="BS3" s="147" t="s">
        <v>525</v>
      </c>
      <c r="BT3" s="147" t="s">
        <v>524</v>
      </c>
      <c r="BU3" s="147" t="s">
        <v>523</v>
      </c>
      <c r="BV3" s="147" t="str">
        <f>+AZ3</f>
        <v>$</v>
      </c>
      <c r="BW3" s="147" t="s">
        <v>522</v>
      </c>
      <c r="BX3" s="147" t="s">
        <v>521</v>
      </c>
      <c r="BY3" s="147" t="s">
        <v>520</v>
      </c>
      <c r="BZ3" s="147" t="s">
        <v>519</v>
      </c>
      <c r="CA3" s="172" t="s">
        <v>539</v>
      </c>
      <c r="CB3" s="172" t="s">
        <v>562</v>
      </c>
      <c r="CC3" s="150" t="s">
        <v>537</v>
      </c>
      <c r="CD3" s="150" t="s">
        <v>536</v>
      </c>
      <c r="CE3" s="150" t="s">
        <v>535</v>
      </c>
      <c r="CF3" s="150" t="s">
        <v>534</v>
      </c>
      <c r="CG3" s="150" t="s">
        <v>533</v>
      </c>
      <c r="CH3" s="150" t="s">
        <v>532</v>
      </c>
      <c r="CI3" s="150" t="s">
        <v>531</v>
      </c>
      <c r="CJ3" s="150" t="s">
        <v>530</v>
      </c>
      <c r="CK3" s="150" t="s">
        <v>529</v>
      </c>
      <c r="CL3" s="150" t="s">
        <v>528</v>
      </c>
      <c r="CM3" s="150" t="s">
        <v>527</v>
      </c>
      <c r="CN3" s="150" t="s">
        <v>526</v>
      </c>
      <c r="CO3" s="150" t="s">
        <v>525</v>
      </c>
      <c r="CP3" s="150" t="s">
        <v>524</v>
      </c>
      <c r="CQ3" s="150" t="s">
        <v>523</v>
      </c>
      <c r="CR3" s="150" t="str">
        <f>+BV3</f>
        <v>$</v>
      </c>
      <c r="CS3" s="150" t="s">
        <v>522</v>
      </c>
      <c r="CT3" s="150" t="s">
        <v>521</v>
      </c>
      <c r="CU3" s="150" t="s">
        <v>520</v>
      </c>
      <c r="CV3" s="150" t="s">
        <v>519</v>
      </c>
      <c r="CW3" s="173" t="s">
        <v>539</v>
      </c>
      <c r="CX3" s="173" t="s">
        <v>562</v>
      </c>
      <c r="CY3" s="173" t="s">
        <v>539</v>
      </c>
      <c r="CZ3" s="173" t="s">
        <v>562</v>
      </c>
      <c r="DA3" s="173" t="s">
        <v>539</v>
      </c>
      <c r="DB3" s="173" t="s">
        <v>562</v>
      </c>
      <c r="DC3" s="173" t="s">
        <v>539</v>
      </c>
      <c r="DD3" s="173" t="s">
        <v>562</v>
      </c>
      <c r="DE3" s="173" t="s">
        <v>539</v>
      </c>
      <c r="DF3" s="173" t="s">
        <v>562</v>
      </c>
      <c r="DG3" s="173" t="s">
        <v>539</v>
      </c>
      <c r="DH3" s="173" t="s">
        <v>562</v>
      </c>
      <c r="DI3" s="173" t="s">
        <v>539</v>
      </c>
      <c r="DJ3" s="173" t="s">
        <v>562</v>
      </c>
      <c r="DK3" s="173" t="s">
        <v>539</v>
      </c>
      <c r="DL3" s="173" t="s">
        <v>562</v>
      </c>
      <c r="DM3" s="173" t="s">
        <v>539</v>
      </c>
      <c r="DN3" s="173" t="s">
        <v>562</v>
      </c>
      <c r="DO3" s="173" t="s">
        <v>539</v>
      </c>
      <c r="DP3" s="173" t="s">
        <v>562</v>
      </c>
      <c r="DQ3" s="173" t="s">
        <v>539</v>
      </c>
      <c r="DR3" s="173" t="s">
        <v>562</v>
      </c>
    </row>
    <row r="4" spans="1:122" ht="53.25" hidden="1" customHeight="1" x14ac:dyDescent="0.25">
      <c r="A4" s="225" t="s">
        <v>518</v>
      </c>
      <c r="B4" s="146" t="s">
        <v>517</v>
      </c>
      <c r="C4" s="82" t="s">
        <v>516</v>
      </c>
      <c r="D4" s="81" t="s">
        <v>515</v>
      </c>
      <c r="E4" s="97">
        <v>510</v>
      </c>
      <c r="F4" s="78" t="s">
        <v>428</v>
      </c>
      <c r="G4" s="227">
        <v>100000000</v>
      </c>
      <c r="H4" s="79">
        <f t="shared" ref="H4:H33" si="0">+CB4</f>
        <v>6000000</v>
      </c>
      <c r="I4" s="79">
        <f t="shared" ref="I4:I33" si="1">M4-H4</f>
        <v>9000000</v>
      </c>
      <c r="J4" s="227" t="s">
        <v>514</v>
      </c>
      <c r="K4" s="227" t="s">
        <v>513</v>
      </c>
      <c r="L4" s="227" t="s">
        <v>512</v>
      </c>
      <c r="M4" s="75">
        <f t="shared" ref="M4:M33" si="2">SUM(N4:AG4)</f>
        <v>15000000</v>
      </c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>
        <v>15000000</v>
      </c>
      <c r="AB4" s="75"/>
      <c r="AC4" s="75"/>
      <c r="AD4" s="75"/>
      <c r="AE4" s="75"/>
      <c r="AF4" s="75"/>
      <c r="AG4" s="75"/>
      <c r="AH4" s="145"/>
      <c r="AI4" s="25">
        <f t="shared" ref="AI4:AI35" si="3">+AJ4/M4</f>
        <v>0.4</v>
      </c>
      <c r="AJ4" s="75">
        <f t="shared" ref="AJ4:AJ33" si="4">SUM(AK4:BD4)</f>
        <v>6000000</v>
      </c>
      <c r="AK4" s="144"/>
      <c r="AL4" s="30"/>
      <c r="AM4" s="30"/>
      <c r="AN4" s="30"/>
      <c r="AO4" s="30"/>
      <c r="AP4" s="24"/>
      <c r="AQ4" s="24"/>
      <c r="AR4" s="24"/>
      <c r="AS4" s="24"/>
      <c r="AT4" s="24"/>
      <c r="AU4" s="24"/>
      <c r="AV4" s="24"/>
      <c r="AW4" s="24"/>
      <c r="AX4" s="24">
        <f>+'[1]AGOSTO 2015'!$W$1944</f>
        <v>6000000</v>
      </c>
      <c r="AY4" s="24"/>
      <c r="AZ4" s="24"/>
      <c r="BA4" s="24"/>
      <c r="BB4" s="24"/>
      <c r="BC4" s="24"/>
      <c r="BD4" s="24"/>
      <c r="BE4" s="25">
        <f t="shared" ref="BE4:BE20" si="5">1-AI4</f>
        <v>0.6</v>
      </c>
      <c r="BF4" s="75">
        <f t="shared" ref="BF4:BF33" si="6">SUM(BG4:BZ4)</f>
        <v>9000000</v>
      </c>
      <c r="BG4" s="75">
        <f t="shared" ref="BG4:BG33" si="7">+N4-AK4</f>
        <v>0</v>
      </c>
      <c r="BH4" s="75">
        <f t="shared" ref="BH4:BH18" si="8">+O4</f>
        <v>0</v>
      </c>
      <c r="BI4" s="75"/>
      <c r="BJ4" s="75">
        <f t="shared" ref="BJ4:BJ33" si="9">Q4-AN4</f>
        <v>0</v>
      </c>
      <c r="BK4" s="75"/>
      <c r="BL4" s="75">
        <f t="shared" ref="BL4:BL33" si="10">+S4-AP4</f>
        <v>0</v>
      </c>
      <c r="BM4" s="75">
        <f t="shared" ref="BM4:BM33" si="11">+T4-AQ4</f>
        <v>0</v>
      </c>
      <c r="BN4" s="75"/>
      <c r="BO4" s="75">
        <f t="shared" ref="BO4:BX4" si="12">+V4-AS4</f>
        <v>0</v>
      </c>
      <c r="BP4" s="75">
        <f t="shared" si="12"/>
        <v>0</v>
      </c>
      <c r="BQ4" s="75">
        <f t="shared" si="12"/>
        <v>0</v>
      </c>
      <c r="BR4" s="75">
        <f t="shared" si="12"/>
        <v>0</v>
      </c>
      <c r="BS4" s="75">
        <f t="shared" si="12"/>
        <v>0</v>
      </c>
      <c r="BT4" s="75">
        <f t="shared" si="12"/>
        <v>9000000</v>
      </c>
      <c r="BU4" s="75">
        <f t="shared" si="12"/>
        <v>0</v>
      </c>
      <c r="BV4" s="75">
        <f t="shared" si="12"/>
        <v>0</v>
      </c>
      <c r="BW4" s="75">
        <f t="shared" si="12"/>
        <v>0</v>
      </c>
      <c r="BX4" s="75">
        <f t="shared" si="12"/>
        <v>0</v>
      </c>
      <c r="BY4" s="75"/>
      <c r="BZ4" s="75">
        <f t="shared" ref="BZ4:BZ33" si="13">+AG4-BD4</f>
        <v>0</v>
      </c>
      <c r="CA4" s="25">
        <f t="shared" ref="CA4:CA35" si="14">+CB4/M4</f>
        <v>0.4</v>
      </c>
      <c r="CB4" s="75">
        <f t="shared" ref="CB4:CB33" si="15">SUM(CC4:CV4)</f>
        <v>6000000</v>
      </c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>
        <f>+'[1]AGOSTO 2015'!$H$1942</f>
        <v>6000000</v>
      </c>
      <c r="CQ4" s="75"/>
      <c r="CR4" s="75"/>
      <c r="CS4" s="75"/>
      <c r="CT4" s="75"/>
      <c r="CU4" s="75"/>
      <c r="CV4" s="75"/>
      <c r="CW4" s="25">
        <f t="shared" ref="CW4:CW34" si="16">1-CA4</f>
        <v>0.6</v>
      </c>
      <c r="CX4" s="75">
        <f t="shared" ref="CX4:CX33" si="17">SUM(CY4:DR4)</f>
        <v>9000000</v>
      </c>
      <c r="CY4" s="75">
        <f t="shared" ref="CY4:CY33" si="18">N4-CC4</f>
        <v>0</v>
      </c>
      <c r="CZ4" s="75">
        <f t="shared" ref="CZ4:CZ33" si="19">O4-CD4</f>
        <v>0</v>
      </c>
      <c r="DA4" s="75"/>
      <c r="DB4" s="75">
        <f t="shared" ref="DB4:DB32" si="20">Q4-CF4</f>
        <v>0</v>
      </c>
      <c r="DC4" s="75">
        <f t="shared" ref="DC4:DC32" si="21">R4-CG4</f>
        <v>0</v>
      </c>
      <c r="DD4" s="75">
        <f t="shared" ref="DD4:DD32" si="22">S4-CH4</f>
        <v>0</v>
      </c>
      <c r="DE4" s="75">
        <f t="shared" ref="DE4:DE32" si="23">T4-CI4</f>
        <v>0</v>
      </c>
      <c r="DF4" s="75"/>
      <c r="DG4" s="75">
        <f t="shared" ref="DG4:DG33" si="24">+V4-CK4</f>
        <v>0</v>
      </c>
      <c r="DH4" s="75">
        <f t="shared" ref="DH4:DH33" si="25">+W4-CL4</f>
        <v>0</v>
      </c>
      <c r="DI4" s="75"/>
      <c r="DJ4" s="75">
        <f t="shared" ref="DJ4:DJ33" si="26">Y4-CN4</f>
        <v>0</v>
      </c>
      <c r="DK4" s="75">
        <f t="shared" ref="DK4:DK33" si="27">Z4-CO4</f>
        <v>0</v>
      </c>
      <c r="DL4" s="75">
        <f t="shared" ref="DL4:DL33" si="28">AA4-CP4</f>
        <v>9000000</v>
      </c>
      <c r="DM4" s="75">
        <f t="shared" ref="DM4:DM33" si="29">+AB4-CQ4</f>
        <v>0</v>
      </c>
      <c r="DN4" s="75">
        <f t="shared" ref="DN4:DN33" si="30">+AC4-CR4</f>
        <v>0</v>
      </c>
      <c r="DO4" s="75">
        <f t="shared" ref="DO4:DO33" si="31">+AD4-CS4</f>
        <v>0</v>
      </c>
      <c r="DP4" s="75">
        <f t="shared" ref="DP4:DP33" si="32">+AE4-CT4</f>
        <v>0</v>
      </c>
      <c r="DQ4" s="75"/>
      <c r="DR4" s="75">
        <f t="shared" ref="DR4:DR33" si="33">+AG4-CV4</f>
        <v>0</v>
      </c>
    </row>
    <row r="5" spans="1:122" ht="62.25" hidden="1" customHeight="1" x14ac:dyDescent="0.25">
      <c r="A5" s="226"/>
      <c r="B5" s="134"/>
      <c r="C5" s="82" t="s">
        <v>511</v>
      </c>
      <c r="D5" s="81" t="s">
        <v>510</v>
      </c>
      <c r="E5" s="97">
        <v>510</v>
      </c>
      <c r="F5" s="78" t="s">
        <v>428</v>
      </c>
      <c r="G5" s="228"/>
      <c r="H5" s="79">
        <f t="shared" si="0"/>
        <v>0</v>
      </c>
      <c r="I5" s="79">
        <f t="shared" si="1"/>
        <v>10000000</v>
      </c>
      <c r="J5" s="228"/>
      <c r="K5" s="228"/>
      <c r="L5" s="228"/>
      <c r="M5" s="75">
        <f t="shared" si="2"/>
        <v>10000000</v>
      </c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>
        <v>10000000</v>
      </c>
      <c r="AB5" s="75"/>
      <c r="AC5" s="75"/>
      <c r="AD5" s="75"/>
      <c r="AE5" s="75"/>
      <c r="AF5" s="75"/>
      <c r="AG5" s="75"/>
      <c r="AH5" s="141"/>
      <c r="AI5" s="25">
        <f t="shared" si="3"/>
        <v>0</v>
      </c>
      <c r="AJ5" s="75">
        <f t="shared" si="4"/>
        <v>0</v>
      </c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25">
        <f t="shared" si="5"/>
        <v>1</v>
      </c>
      <c r="BF5" s="75">
        <f t="shared" si="6"/>
        <v>10000000</v>
      </c>
      <c r="BG5" s="75">
        <f t="shared" si="7"/>
        <v>0</v>
      </c>
      <c r="BH5" s="75">
        <f t="shared" si="8"/>
        <v>0</v>
      </c>
      <c r="BI5" s="75"/>
      <c r="BJ5" s="75">
        <f t="shared" si="9"/>
        <v>0</v>
      </c>
      <c r="BK5" s="75"/>
      <c r="BL5" s="75">
        <f t="shared" si="10"/>
        <v>0</v>
      </c>
      <c r="BM5" s="75">
        <f t="shared" si="11"/>
        <v>0</v>
      </c>
      <c r="BN5" s="75"/>
      <c r="BO5" s="75"/>
      <c r="BP5" s="75"/>
      <c r="BQ5" s="75"/>
      <c r="BR5" s="75">
        <f t="shared" ref="BR5:BR33" si="34">+Y5-AV5</f>
        <v>0</v>
      </c>
      <c r="BS5" s="75">
        <f t="shared" ref="BS5:BS33" si="35">+Z5-AW5</f>
        <v>0</v>
      </c>
      <c r="BT5" s="75">
        <f t="shared" ref="BT5:BT33" si="36">+AA5-AX5</f>
        <v>10000000</v>
      </c>
      <c r="BU5" s="75">
        <f t="shared" ref="BU5:BU33" si="37">+AB5-AY5</f>
        <v>0</v>
      </c>
      <c r="BV5" s="75">
        <f t="shared" ref="BV5:BV33" si="38">+AC5-AZ5</f>
        <v>0</v>
      </c>
      <c r="BW5" s="75">
        <f t="shared" ref="BW5:BW33" si="39">+AD5-BA5</f>
        <v>0</v>
      </c>
      <c r="BX5" s="75"/>
      <c r="BY5" s="75"/>
      <c r="BZ5" s="75">
        <f t="shared" si="13"/>
        <v>0</v>
      </c>
      <c r="CA5" s="25">
        <f t="shared" si="14"/>
        <v>0</v>
      </c>
      <c r="CB5" s="75">
        <f t="shared" si="15"/>
        <v>0</v>
      </c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25">
        <f t="shared" si="16"/>
        <v>1</v>
      </c>
      <c r="CX5" s="75">
        <f t="shared" si="17"/>
        <v>10000000</v>
      </c>
      <c r="CY5" s="75">
        <f t="shared" si="18"/>
        <v>0</v>
      </c>
      <c r="CZ5" s="75">
        <f t="shared" si="19"/>
        <v>0</v>
      </c>
      <c r="DA5" s="75"/>
      <c r="DB5" s="75">
        <f t="shared" si="20"/>
        <v>0</v>
      </c>
      <c r="DC5" s="75">
        <f t="shared" si="21"/>
        <v>0</v>
      </c>
      <c r="DD5" s="75">
        <f t="shared" si="22"/>
        <v>0</v>
      </c>
      <c r="DE5" s="75">
        <f t="shared" si="23"/>
        <v>0</v>
      </c>
      <c r="DF5" s="75"/>
      <c r="DG5" s="75">
        <f t="shared" si="24"/>
        <v>0</v>
      </c>
      <c r="DH5" s="75">
        <f t="shared" si="25"/>
        <v>0</v>
      </c>
      <c r="DI5" s="75"/>
      <c r="DJ5" s="75">
        <f t="shared" si="26"/>
        <v>0</v>
      </c>
      <c r="DK5" s="75">
        <f t="shared" si="27"/>
        <v>0</v>
      </c>
      <c r="DL5" s="75">
        <f t="shared" si="28"/>
        <v>10000000</v>
      </c>
      <c r="DM5" s="75">
        <f t="shared" si="29"/>
        <v>0</v>
      </c>
      <c r="DN5" s="75">
        <f t="shared" si="30"/>
        <v>0</v>
      </c>
      <c r="DO5" s="75">
        <f t="shared" si="31"/>
        <v>0</v>
      </c>
      <c r="DP5" s="75">
        <f t="shared" si="32"/>
        <v>0</v>
      </c>
      <c r="DQ5" s="75"/>
      <c r="DR5" s="75">
        <f t="shared" si="33"/>
        <v>0</v>
      </c>
    </row>
    <row r="6" spans="1:122" ht="61.5" hidden="1" customHeight="1" x14ac:dyDescent="0.25">
      <c r="A6" s="226"/>
      <c r="B6" s="134"/>
      <c r="C6" s="82" t="s">
        <v>509</v>
      </c>
      <c r="D6" s="81" t="s">
        <v>508</v>
      </c>
      <c r="E6" s="127">
        <v>510</v>
      </c>
      <c r="F6" s="78" t="s">
        <v>428</v>
      </c>
      <c r="G6" s="228"/>
      <c r="H6" s="79">
        <f t="shared" si="0"/>
        <v>0</v>
      </c>
      <c r="I6" s="79">
        <f t="shared" si="1"/>
        <v>5000000</v>
      </c>
      <c r="J6" s="228"/>
      <c r="K6" s="228"/>
      <c r="L6" s="228"/>
      <c r="M6" s="75">
        <f t="shared" si="2"/>
        <v>5000000</v>
      </c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>
        <v>5000000</v>
      </c>
      <c r="AB6" s="75"/>
      <c r="AC6" s="75"/>
      <c r="AD6" s="75"/>
      <c r="AE6" s="75"/>
      <c r="AF6" s="75"/>
      <c r="AG6" s="75"/>
      <c r="AH6" s="141"/>
      <c r="AI6" s="25">
        <f t="shared" si="3"/>
        <v>0</v>
      </c>
      <c r="AJ6" s="75">
        <f t="shared" si="4"/>
        <v>0</v>
      </c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25">
        <f t="shared" si="5"/>
        <v>1</v>
      </c>
      <c r="BF6" s="75">
        <f t="shared" si="6"/>
        <v>5000000</v>
      </c>
      <c r="BG6" s="75">
        <f t="shared" si="7"/>
        <v>0</v>
      </c>
      <c r="BH6" s="75">
        <f t="shared" si="8"/>
        <v>0</v>
      </c>
      <c r="BI6" s="75"/>
      <c r="BJ6" s="75">
        <f t="shared" si="9"/>
        <v>0</v>
      </c>
      <c r="BK6" s="75"/>
      <c r="BL6" s="75">
        <f t="shared" si="10"/>
        <v>0</v>
      </c>
      <c r="BM6" s="75">
        <f t="shared" si="11"/>
        <v>0</v>
      </c>
      <c r="BN6" s="75"/>
      <c r="BO6" s="75"/>
      <c r="BP6" s="75"/>
      <c r="BQ6" s="75"/>
      <c r="BR6" s="75">
        <f t="shared" si="34"/>
        <v>0</v>
      </c>
      <c r="BS6" s="75">
        <f t="shared" si="35"/>
        <v>0</v>
      </c>
      <c r="BT6" s="75">
        <f t="shared" si="36"/>
        <v>5000000</v>
      </c>
      <c r="BU6" s="75">
        <f t="shared" si="37"/>
        <v>0</v>
      </c>
      <c r="BV6" s="75">
        <f t="shared" si="38"/>
        <v>0</v>
      </c>
      <c r="BW6" s="75">
        <f t="shared" si="39"/>
        <v>0</v>
      </c>
      <c r="BX6" s="75"/>
      <c r="BY6" s="75"/>
      <c r="BZ6" s="75">
        <f t="shared" si="13"/>
        <v>0</v>
      </c>
      <c r="CA6" s="25">
        <f t="shared" si="14"/>
        <v>0</v>
      </c>
      <c r="CB6" s="75">
        <f t="shared" si="15"/>
        <v>0</v>
      </c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75"/>
      <c r="CW6" s="25">
        <f t="shared" si="16"/>
        <v>1</v>
      </c>
      <c r="CX6" s="75">
        <f t="shared" si="17"/>
        <v>5000000</v>
      </c>
      <c r="CY6" s="75">
        <f t="shared" si="18"/>
        <v>0</v>
      </c>
      <c r="CZ6" s="75">
        <f t="shared" si="19"/>
        <v>0</v>
      </c>
      <c r="DA6" s="75"/>
      <c r="DB6" s="75">
        <f t="shared" si="20"/>
        <v>0</v>
      </c>
      <c r="DC6" s="75">
        <f t="shared" si="21"/>
        <v>0</v>
      </c>
      <c r="DD6" s="75">
        <f t="shared" si="22"/>
        <v>0</v>
      </c>
      <c r="DE6" s="75">
        <f t="shared" si="23"/>
        <v>0</v>
      </c>
      <c r="DF6" s="75"/>
      <c r="DG6" s="75">
        <f t="shared" si="24"/>
        <v>0</v>
      </c>
      <c r="DH6" s="75">
        <f t="shared" si="25"/>
        <v>0</v>
      </c>
      <c r="DI6" s="75"/>
      <c r="DJ6" s="75">
        <f t="shared" si="26"/>
        <v>0</v>
      </c>
      <c r="DK6" s="75">
        <f t="shared" si="27"/>
        <v>0</v>
      </c>
      <c r="DL6" s="75">
        <f t="shared" si="28"/>
        <v>5000000</v>
      </c>
      <c r="DM6" s="75">
        <f t="shared" si="29"/>
        <v>0</v>
      </c>
      <c r="DN6" s="75">
        <f t="shared" si="30"/>
        <v>0</v>
      </c>
      <c r="DO6" s="75">
        <f t="shared" si="31"/>
        <v>0</v>
      </c>
      <c r="DP6" s="75">
        <f t="shared" si="32"/>
        <v>0</v>
      </c>
      <c r="DQ6" s="75"/>
      <c r="DR6" s="75">
        <f t="shared" si="33"/>
        <v>0</v>
      </c>
    </row>
    <row r="7" spans="1:122" ht="51.75" hidden="1" customHeight="1" x14ac:dyDescent="0.25">
      <c r="A7" s="226"/>
      <c r="B7" s="143"/>
      <c r="C7" s="82" t="s">
        <v>507</v>
      </c>
      <c r="D7" s="81" t="s">
        <v>506</v>
      </c>
      <c r="E7" s="142">
        <v>510</v>
      </c>
      <c r="F7" s="78" t="s">
        <v>428</v>
      </c>
      <c r="G7" s="228"/>
      <c r="H7" s="79">
        <f t="shared" si="0"/>
        <v>9996767</v>
      </c>
      <c r="I7" s="79">
        <f t="shared" si="1"/>
        <v>3233</v>
      </c>
      <c r="J7" s="228"/>
      <c r="K7" s="228"/>
      <c r="L7" s="228"/>
      <c r="M7" s="75">
        <f t="shared" si="2"/>
        <v>10000000</v>
      </c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>
        <v>10000000</v>
      </c>
      <c r="AB7" s="75"/>
      <c r="AC7" s="75"/>
      <c r="AD7" s="75"/>
      <c r="AE7" s="75"/>
      <c r="AF7" s="75"/>
      <c r="AG7" s="75"/>
      <c r="AH7" s="141"/>
      <c r="AI7" s="25">
        <f t="shared" si="3"/>
        <v>0.99967669999999997</v>
      </c>
      <c r="AJ7" s="75">
        <f t="shared" si="4"/>
        <v>9996767</v>
      </c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>
        <f>+'[1]AGOSTO 2015'!$W$1960</f>
        <v>9996767</v>
      </c>
      <c r="AY7" s="75"/>
      <c r="AZ7" s="75"/>
      <c r="BA7" s="75"/>
      <c r="BB7" s="75"/>
      <c r="BC7" s="75"/>
      <c r="BD7" s="75"/>
      <c r="BE7" s="25">
        <f t="shared" si="5"/>
        <v>3.2330000000002634E-4</v>
      </c>
      <c r="BF7" s="75">
        <f t="shared" si="6"/>
        <v>3233</v>
      </c>
      <c r="BG7" s="75">
        <f t="shared" si="7"/>
        <v>0</v>
      </c>
      <c r="BH7" s="75">
        <f t="shared" si="8"/>
        <v>0</v>
      </c>
      <c r="BI7" s="75"/>
      <c r="BJ7" s="75">
        <f t="shared" si="9"/>
        <v>0</v>
      </c>
      <c r="BK7" s="75"/>
      <c r="BL7" s="75">
        <f t="shared" si="10"/>
        <v>0</v>
      </c>
      <c r="BM7" s="75">
        <f t="shared" si="11"/>
        <v>0</v>
      </c>
      <c r="BN7" s="75"/>
      <c r="BO7" s="75"/>
      <c r="BP7" s="75"/>
      <c r="BQ7" s="75"/>
      <c r="BR7" s="75">
        <f t="shared" si="34"/>
        <v>0</v>
      </c>
      <c r="BS7" s="75">
        <f t="shared" si="35"/>
        <v>0</v>
      </c>
      <c r="BT7" s="75">
        <f t="shared" si="36"/>
        <v>3233</v>
      </c>
      <c r="BU7" s="75">
        <f t="shared" si="37"/>
        <v>0</v>
      </c>
      <c r="BV7" s="75">
        <f t="shared" si="38"/>
        <v>0</v>
      </c>
      <c r="BW7" s="75">
        <f t="shared" si="39"/>
        <v>0</v>
      </c>
      <c r="BX7" s="75"/>
      <c r="BY7" s="75"/>
      <c r="BZ7" s="75">
        <f t="shared" si="13"/>
        <v>0</v>
      </c>
      <c r="CA7" s="25">
        <f t="shared" si="14"/>
        <v>0.99967669999999997</v>
      </c>
      <c r="CB7" s="75">
        <f t="shared" si="15"/>
        <v>9996767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>
        <f>+'[1]AGOSTO 2015'!$H$1958</f>
        <v>9996767</v>
      </c>
      <c r="CQ7" s="75"/>
      <c r="CR7" s="75"/>
      <c r="CS7" s="75"/>
      <c r="CT7" s="75"/>
      <c r="CU7" s="75"/>
      <c r="CV7" s="75"/>
      <c r="CW7" s="25">
        <f t="shared" si="16"/>
        <v>3.2330000000002634E-4</v>
      </c>
      <c r="CX7" s="75">
        <f t="shared" si="17"/>
        <v>3233</v>
      </c>
      <c r="CY7" s="75">
        <f t="shared" si="18"/>
        <v>0</v>
      </c>
      <c r="CZ7" s="75">
        <f t="shared" si="19"/>
        <v>0</v>
      </c>
      <c r="DA7" s="75"/>
      <c r="DB7" s="75">
        <f t="shared" si="20"/>
        <v>0</v>
      </c>
      <c r="DC7" s="75">
        <f t="shared" si="21"/>
        <v>0</v>
      </c>
      <c r="DD7" s="75">
        <f t="shared" si="22"/>
        <v>0</v>
      </c>
      <c r="DE7" s="75">
        <f t="shared" si="23"/>
        <v>0</v>
      </c>
      <c r="DF7" s="75"/>
      <c r="DG7" s="75">
        <f t="shared" si="24"/>
        <v>0</v>
      </c>
      <c r="DH7" s="75">
        <f t="shared" si="25"/>
        <v>0</v>
      </c>
      <c r="DI7" s="75"/>
      <c r="DJ7" s="75">
        <f t="shared" si="26"/>
        <v>0</v>
      </c>
      <c r="DK7" s="75">
        <f t="shared" si="27"/>
        <v>0</v>
      </c>
      <c r="DL7" s="75">
        <f t="shared" si="28"/>
        <v>3233</v>
      </c>
      <c r="DM7" s="75">
        <f t="shared" si="29"/>
        <v>0</v>
      </c>
      <c r="DN7" s="75">
        <f t="shared" si="30"/>
        <v>0</v>
      </c>
      <c r="DO7" s="75">
        <f t="shared" si="31"/>
        <v>0</v>
      </c>
      <c r="DP7" s="75">
        <f t="shared" si="32"/>
        <v>0</v>
      </c>
      <c r="DQ7" s="75"/>
      <c r="DR7" s="75">
        <f t="shared" si="33"/>
        <v>0</v>
      </c>
    </row>
    <row r="8" spans="1:122" ht="95.25" hidden="1" customHeight="1" x14ac:dyDescent="0.25">
      <c r="A8" s="226"/>
      <c r="B8" s="134"/>
      <c r="C8" s="82" t="s">
        <v>505</v>
      </c>
      <c r="D8" s="81" t="s">
        <v>504</v>
      </c>
      <c r="E8" s="118">
        <v>510</v>
      </c>
      <c r="F8" s="78" t="s">
        <v>428</v>
      </c>
      <c r="G8" s="228"/>
      <c r="H8" s="79">
        <f t="shared" si="0"/>
        <v>0</v>
      </c>
      <c r="I8" s="79">
        <f t="shared" si="1"/>
        <v>25000000</v>
      </c>
      <c r="J8" s="228"/>
      <c r="K8" s="228"/>
      <c r="L8" s="228"/>
      <c r="M8" s="75">
        <f t="shared" si="2"/>
        <v>25000000</v>
      </c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>
        <v>25000000</v>
      </c>
      <c r="AB8" s="75"/>
      <c r="AC8" s="75"/>
      <c r="AD8" s="75"/>
      <c r="AE8" s="75"/>
      <c r="AF8" s="75"/>
      <c r="AG8" s="75"/>
      <c r="AH8" s="141"/>
      <c r="AI8" s="25">
        <f t="shared" si="3"/>
        <v>0</v>
      </c>
      <c r="AJ8" s="75">
        <f t="shared" si="4"/>
        <v>0</v>
      </c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25">
        <f t="shared" si="5"/>
        <v>1</v>
      </c>
      <c r="BF8" s="75">
        <f t="shared" si="6"/>
        <v>25000000</v>
      </c>
      <c r="BG8" s="75">
        <f t="shared" si="7"/>
        <v>0</v>
      </c>
      <c r="BH8" s="75">
        <f t="shared" si="8"/>
        <v>0</v>
      </c>
      <c r="BI8" s="75"/>
      <c r="BJ8" s="75">
        <f t="shared" si="9"/>
        <v>0</v>
      </c>
      <c r="BK8" s="75"/>
      <c r="BL8" s="75">
        <f t="shared" si="10"/>
        <v>0</v>
      </c>
      <c r="BM8" s="75">
        <f t="shared" si="11"/>
        <v>0</v>
      </c>
      <c r="BN8" s="75"/>
      <c r="BO8" s="75"/>
      <c r="BP8" s="75"/>
      <c r="BQ8" s="75"/>
      <c r="BR8" s="75">
        <f t="shared" si="34"/>
        <v>0</v>
      </c>
      <c r="BS8" s="75">
        <f t="shared" si="35"/>
        <v>0</v>
      </c>
      <c r="BT8" s="75">
        <f t="shared" si="36"/>
        <v>25000000</v>
      </c>
      <c r="BU8" s="75">
        <f t="shared" si="37"/>
        <v>0</v>
      </c>
      <c r="BV8" s="75">
        <f t="shared" si="38"/>
        <v>0</v>
      </c>
      <c r="BW8" s="75">
        <f t="shared" si="39"/>
        <v>0</v>
      </c>
      <c r="BX8" s="75"/>
      <c r="BY8" s="75"/>
      <c r="BZ8" s="75">
        <f t="shared" si="13"/>
        <v>0</v>
      </c>
      <c r="CA8" s="25">
        <f t="shared" si="14"/>
        <v>0</v>
      </c>
      <c r="CB8" s="75">
        <f t="shared" si="15"/>
        <v>0</v>
      </c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75"/>
      <c r="CW8" s="25">
        <f t="shared" si="16"/>
        <v>1</v>
      </c>
      <c r="CX8" s="75">
        <f t="shared" si="17"/>
        <v>25000000</v>
      </c>
      <c r="CY8" s="75">
        <f t="shared" si="18"/>
        <v>0</v>
      </c>
      <c r="CZ8" s="75">
        <f t="shared" si="19"/>
        <v>0</v>
      </c>
      <c r="DA8" s="75"/>
      <c r="DB8" s="75">
        <f t="shared" si="20"/>
        <v>0</v>
      </c>
      <c r="DC8" s="75">
        <f t="shared" si="21"/>
        <v>0</v>
      </c>
      <c r="DD8" s="75">
        <f t="shared" si="22"/>
        <v>0</v>
      </c>
      <c r="DE8" s="75">
        <f t="shared" si="23"/>
        <v>0</v>
      </c>
      <c r="DF8" s="75"/>
      <c r="DG8" s="75">
        <f t="shared" si="24"/>
        <v>0</v>
      </c>
      <c r="DH8" s="75">
        <f t="shared" si="25"/>
        <v>0</v>
      </c>
      <c r="DI8" s="75"/>
      <c r="DJ8" s="75">
        <f t="shared" si="26"/>
        <v>0</v>
      </c>
      <c r="DK8" s="75">
        <f t="shared" si="27"/>
        <v>0</v>
      </c>
      <c r="DL8" s="75">
        <f t="shared" si="28"/>
        <v>25000000</v>
      </c>
      <c r="DM8" s="75">
        <f t="shared" si="29"/>
        <v>0</v>
      </c>
      <c r="DN8" s="75">
        <f t="shared" si="30"/>
        <v>0</v>
      </c>
      <c r="DO8" s="75">
        <f t="shared" si="31"/>
        <v>0</v>
      </c>
      <c r="DP8" s="75">
        <f t="shared" si="32"/>
        <v>0</v>
      </c>
      <c r="DQ8" s="75"/>
      <c r="DR8" s="75">
        <f t="shared" si="33"/>
        <v>0</v>
      </c>
    </row>
    <row r="9" spans="1:122" ht="57.75" hidden="1" customHeight="1" x14ac:dyDescent="0.25">
      <c r="A9" s="226"/>
      <c r="B9" s="134"/>
      <c r="C9" s="82" t="s">
        <v>503</v>
      </c>
      <c r="D9" s="81" t="s">
        <v>502</v>
      </c>
      <c r="E9" s="97">
        <v>510</v>
      </c>
      <c r="F9" s="78" t="s">
        <v>428</v>
      </c>
      <c r="G9" s="229"/>
      <c r="H9" s="79">
        <f t="shared" si="0"/>
        <v>33527912</v>
      </c>
      <c r="I9" s="79">
        <f t="shared" si="1"/>
        <v>1472088</v>
      </c>
      <c r="J9" s="229"/>
      <c r="K9" s="229"/>
      <c r="L9" s="229"/>
      <c r="M9" s="75">
        <f t="shared" si="2"/>
        <v>35000000</v>
      </c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>
        <v>35000000</v>
      </c>
      <c r="AB9" s="75"/>
      <c r="AC9" s="75"/>
      <c r="AD9" s="75"/>
      <c r="AE9" s="75"/>
      <c r="AF9" s="75"/>
      <c r="AG9" s="75"/>
      <c r="AH9" s="141"/>
      <c r="AI9" s="25">
        <f t="shared" si="3"/>
        <v>0.95794034285714291</v>
      </c>
      <c r="AJ9" s="75">
        <f t="shared" si="4"/>
        <v>33527912</v>
      </c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>
        <f>+'[1]AGOSTO 2015'!$W$1977</f>
        <v>33527912</v>
      </c>
      <c r="AY9" s="75"/>
      <c r="AZ9" s="75"/>
      <c r="BA9" s="75"/>
      <c r="BB9" s="75"/>
      <c r="BC9" s="75"/>
      <c r="BD9" s="75"/>
      <c r="BE9" s="25">
        <f t="shared" si="5"/>
        <v>4.2059657142857088E-2</v>
      </c>
      <c r="BF9" s="75">
        <f t="shared" si="6"/>
        <v>1472088</v>
      </c>
      <c r="BG9" s="75">
        <f t="shared" si="7"/>
        <v>0</v>
      </c>
      <c r="BH9" s="75">
        <f t="shared" si="8"/>
        <v>0</v>
      </c>
      <c r="BI9" s="75"/>
      <c r="BJ9" s="75">
        <f t="shared" si="9"/>
        <v>0</v>
      </c>
      <c r="BK9" s="75"/>
      <c r="BL9" s="75">
        <f t="shared" si="10"/>
        <v>0</v>
      </c>
      <c r="BM9" s="75">
        <f t="shared" si="11"/>
        <v>0</v>
      </c>
      <c r="BN9" s="75"/>
      <c r="BO9" s="75"/>
      <c r="BP9" s="75"/>
      <c r="BQ9" s="75"/>
      <c r="BR9" s="75">
        <f t="shared" si="34"/>
        <v>0</v>
      </c>
      <c r="BS9" s="75">
        <f t="shared" si="35"/>
        <v>0</v>
      </c>
      <c r="BT9" s="75">
        <f t="shared" si="36"/>
        <v>1472088</v>
      </c>
      <c r="BU9" s="75">
        <f t="shared" si="37"/>
        <v>0</v>
      </c>
      <c r="BV9" s="75">
        <f t="shared" si="38"/>
        <v>0</v>
      </c>
      <c r="BW9" s="75">
        <f t="shared" si="39"/>
        <v>0</v>
      </c>
      <c r="BX9" s="75"/>
      <c r="BY9" s="75"/>
      <c r="BZ9" s="75">
        <f t="shared" si="13"/>
        <v>0</v>
      </c>
      <c r="CA9" s="25">
        <f t="shared" si="14"/>
        <v>0.95794034285714291</v>
      </c>
      <c r="CB9" s="75">
        <f t="shared" si="15"/>
        <v>33527912</v>
      </c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>
        <f>+'[1]AGOSTO 2015'!$H$1975</f>
        <v>33527912</v>
      </c>
      <c r="CQ9" s="75"/>
      <c r="CR9" s="75"/>
      <c r="CS9" s="75"/>
      <c r="CT9" s="75"/>
      <c r="CU9" s="75"/>
      <c r="CV9" s="75"/>
      <c r="CW9" s="25">
        <f t="shared" si="16"/>
        <v>4.2059657142857088E-2</v>
      </c>
      <c r="CX9" s="75">
        <f t="shared" si="17"/>
        <v>1472088</v>
      </c>
      <c r="CY9" s="75">
        <f t="shared" si="18"/>
        <v>0</v>
      </c>
      <c r="CZ9" s="75">
        <f t="shared" si="19"/>
        <v>0</v>
      </c>
      <c r="DA9" s="75"/>
      <c r="DB9" s="75">
        <f t="shared" si="20"/>
        <v>0</v>
      </c>
      <c r="DC9" s="75">
        <f t="shared" si="21"/>
        <v>0</v>
      </c>
      <c r="DD9" s="75">
        <f t="shared" si="22"/>
        <v>0</v>
      </c>
      <c r="DE9" s="75">
        <f t="shared" si="23"/>
        <v>0</v>
      </c>
      <c r="DF9" s="75"/>
      <c r="DG9" s="75">
        <f t="shared" si="24"/>
        <v>0</v>
      </c>
      <c r="DH9" s="75">
        <f t="shared" si="25"/>
        <v>0</v>
      </c>
      <c r="DI9" s="75"/>
      <c r="DJ9" s="75">
        <f t="shared" si="26"/>
        <v>0</v>
      </c>
      <c r="DK9" s="75">
        <f t="shared" si="27"/>
        <v>0</v>
      </c>
      <c r="DL9" s="75">
        <f t="shared" si="28"/>
        <v>1472088</v>
      </c>
      <c r="DM9" s="75">
        <f t="shared" si="29"/>
        <v>0</v>
      </c>
      <c r="DN9" s="75">
        <f t="shared" si="30"/>
        <v>0</v>
      </c>
      <c r="DO9" s="75">
        <f t="shared" si="31"/>
        <v>0</v>
      </c>
      <c r="DP9" s="75">
        <f t="shared" si="32"/>
        <v>0</v>
      </c>
      <c r="DQ9" s="75"/>
      <c r="DR9" s="75">
        <f t="shared" si="33"/>
        <v>0</v>
      </c>
    </row>
    <row r="10" spans="1:122" ht="43.5" hidden="1" customHeight="1" x14ac:dyDescent="0.25">
      <c r="A10" s="226"/>
      <c r="B10" s="134" t="s">
        <v>501</v>
      </c>
      <c r="C10" s="82" t="s">
        <v>500</v>
      </c>
      <c r="D10" s="81" t="s">
        <v>499</v>
      </c>
      <c r="E10" s="97">
        <v>510</v>
      </c>
      <c r="F10" s="78" t="s">
        <v>498</v>
      </c>
      <c r="G10" s="227">
        <v>95000000</v>
      </c>
      <c r="H10" s="79">
        <f t="shared" si="0"/>
        <v>2628860</v>
      </c>
      <c r="I10" s="79">
        <f t="shared" si="1"/>
        <v>16371140</v>
      </c>
      <c r="J10" s="227" t="s">
        <v>497</v>
      </c>
      <c r="K10" s="227" t="s">
        <v>496</v>
      </c>
      <c r="L10" s="78"/>
      <c r="M10" s="75">
        <f t="shared" si="2"/>
        <v>19000000</v>
      </c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>
        <f>5000000+10000000+4000000</f>
        <v>19000000</v>
      </c>
      <c r="AI10" s="25">
        <f t="shared" si="3"/>
        <v>1</v>
      </c>
      <c r="AJ10" s="75">
        <f t="shared" si="4"/>
        <v>19000000</v>
      </c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>
        <f>+'[2]JULIO 2015'!$AD$1778</f>
        <v>19000000</v>
      </c>
      <c r="BE10" s="25">
        <f t="shared" si="5"/>
        <v>0</v>
      </c>
      <c r="BF10" s="75">
        <f t="shared" si="6"/>
        <v>0</v>
      </c>
      <c r="BG10" s="75">
        <f t="shared" si="7"/>
        <v>0</v>
      </c>
      <c r="BH10" s="75">
        <f t="shared" si="8"/>
        <v>0</v>
      </c>
      <c r="BI10" s="75"/>
      <c r="BJ10" s="75">
        <f t="shared" si="9"/>
        <v>0</v>
      </c>
      <c r="BK10" s="75"/>
      <c r="BL10" s="75">
        <f t="shared" si="10"/>
        <v>0</v>
      </c>
      <c r="BM10" s="75">
        <f t="shared" si="11"/>
        <v>0</v>
      </c>
      <c r="BN10" s="75"/>
      <c r="BO10" s="75">
        <f>+V10-AS10</f>
        <v>0</v>
      </c>
      <c r="BP10" s="75">
        <f>+W10-AT10</f>
        <v>0</v>
      </c>
      <c r="BQ10" s="75">
        <f>+X10-AU10</f>
        <v>0</v>
      </c>
      <c r="BR10" s="75">
        <f t="shared" si="34"/>
        <v>0</v>
      </c>
      <c r="BS10" s="75">
        <f t="shared" si="35"/>
        <v>0</v>
      </c>
      <c r="BT10" s="75">
        <f t="shared" si="36"/>
        <v>0</v>
      </c>
      <c r="BU10" s="75">
        <f t="shared" si="37"/>
        <v>0</v>
      </c>
      <c r="BV10" s="75">
        <f t="shared" si="38"/>
        <v>0</v>
      </c>
      <c r="BW10" s="75">
        <f t="shared" si="39"/>
        <v>0</v>
      </c>
      <c r="BX10" s="75"/>
      <c r="BY10" s="75"/>
      <c r="BZ10" s="75">
        <f t="shared" si="13"/>
        <v>0</v>
      </c>
      <c r="CA10" s="25">
        <f t="shared" si="14"/>
        <v>0.13836105263157894</v>
      </c>
      <c r="CB10" s="75">
        <f t="shared" si="15"/>
        <v>2628860</v>
      </c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>
        <f>+'[2]JULIO 2015'!$H$1776</f>
        <v>2628860</v>
      </c>
      <c r="CW10" s="25">
        <f t="shared" si="16"/>
        <v>0.86163894736842106</v>
      </c>
      <c r="CX10" s="75">
        <f t="shared" si="17"/>
        <v>16371140</v>
      </c>
      <c r="CY10" s="75">
        <f t="shared" si="18"/>
        <v>0</v>
      </c>
      <c r="CZ10" s="75">
        <f t="shared" si="19"/>
        <v>0</v>
      </c>
      <c r="DA10" s="75"/>
      <c r="DB10" s="75">
        <f t="shared" si="20"/>
        <v>0</v>
      </c>
      <c r="DC10" s="75">
        <f t="shared" si="21"/>
        <v>0</v>
      </c>
      <c r="DD10" s="75">
        <f t="shared" si="22"/>
        <v>0</v>
      </c>
      <c r="DE10" s="75">
        <f t="shared" si="23"/>
        <v>0</v>
      </c>
      <c r="DF10" s="75"/>
      <c r="DG10" s="75">
        <f t="shared" si="24"/>
        <v>0</v>
      </c>
      <c r="DH10" s="75">
        <f t="shared" si="25"/>
        <v>0</v>
      </c>
      <c r="DI10" s="75"/>
      <c r="DJ10" s="75">
        <f t="shared" si="26"/>
        <v>0</v>
      </c>
      <c r="DK10" s="75">
        <f t="shared" si="27"/>
        <v>0</v>
      </c>
      <c r="DL10" s="75">
        <f t="shared" si="28"/>
        <v>0</v>
      </c>
      <c r="DM10" s="75">
        <f t="shared" si="29"/>
        <v>0</v>
      </c>
      <c r="DN10" s="75">
        <f t="shared" si="30"/>
        <v>0</v>
      </c>
      <c r="DO10" s="75">
        <f t="shared" si="31"/>
        <v>0</v>
      </c>
      <c r="DP10" s="75">
        <f t="shared" si="32"/>
        <v>0</v>
      </c>
      <c r="DQ10" s="75"/>
      <c r="DR10" s="75">
        <f t="shared" si="33"/>
        <v>16371140</v>
      </c>
    </row>
    <row r="11" spans="1:122" ht="51.75" hidden="1" customHeight="1" x14ac:dyDescent="0.25">
      <c r="A11" s="226"/>
      <c r="B11" s="134"/>
      <c r="C11" s="82" t="s">
        <v>495</v>
      </c>
      <c r="D11" s="81" t="s">
        <v>494</v>
      </c>
      <c r="E11" s="97">
        <v>510</v>
      </c>
      <c r="F11" s="78" t="s">
        <v>428</v>
      </c>
      <c r="G11" s="228"/>
      <c r="H11" s="79">
        <f t="shared" si="0"/>
        <v>800000</v>
      </c>
      <c r="I11" s="79">
        <f t="shared" si="1"/>
        <v>14200000</v>
      </c>
      <c r="J11" s="228"/>
      <c r="K11" s="228"/>
      <c r="L11" s="78"/>
      <c r="M11" s="75">
        <f t="shared" si="2"/>
        <v>15000000</v>
      </c>
      <c r="N11" s="75"/>
      <c r="O11" s="75"/>
      <c r="P11" s="75"/>
      <c r="Q11" s="75"/>
      <c r="R11" s="75"/>
      <c r="S11" s="75">
        <f>30000000-15000000</f>
        <v>15000000</v>
      </c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I11" s="25">
        <f t="shared" si="3"/>
        <v>5.3333333333333337E-2</v>
      </c>
      <c r="AJ11" s="75">
        <f t="shared" si="4"/>
        <v>800000</v>
      </c>
      <c r="AK11" s="75"/>
      <c r="AL11" s="75"/>
      <c r="AM11" s="75"/>
      <c r="AN11" s="75"/>
      <c r="AO11" s="75"/>
      <c r="AP11" s="75">
        <f>+'[1]AGOSTO 2015'!$O$2001</f>
        <v>800000</v>
      </c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25">
        <f t="shared" si="5"/>
        <v>0.94666666666666666</v>
      </c>
      <c r="BF11" s="75">
        <f t="shared" si="6"/>
        <v>14200000</v>
      </c>
      <c r="BG11" s="75">
        <f t="shared" si="7"/>
        <v>0</v>
      </c>
      <c r="BH11" s="75">
        <f t="shared" si="8"/>
        <v>0</v>
      </c>
      <c r="BI11" s="75"/>
      <c r="BJ11" s="75">
        <f t="shared" si="9"/>
        <v>0</v>
      </c>
      <c r="BK11" s="75"/>
      <c r="BL11" s="75">
        <f t="shared" si="10"/>
        <v>14200000</v>
      </c>
      <c r="BM11" s="75">
        <f t="shared" si="11"/>
        <v>0</v>
      </c>
      <c r="BN11" s="75"/>
      <c r="BO11" s="75"/>
      <c r="BP11" s="75"/>
      <c r="BQ11" s="75"/>
      <c r="BR11" s="75">
        <f t="shared" si="34"/>
        <v>0</v>
      </c>
      <c r="BS11" s="75">
        <f t="shared" si="35"/>
        <v>0</v>
      </c>
      <c r="BT11" s="75">
        <f t="shared" si="36"/>
        <v>0</v>
      </c>
      <c r="BU11" s="75">
        <f t="shared" si="37"/>
        <v>0</v>
      </c>
      <c r="BV11" s="75">
        <f t="shared" si="38"/>
        <v>0</v>
      </c>
      <c r="BW11" s="75">
        <f t="shared" si="39"/>
        <v>0</v>
      </c>
      <c r="BX11" s="75"/>
      <c r="BY11" s="75"/>
      <c r="BZ11" s="75">
        <f t="shared" si="13"/>
        <v>0</v>
      </c>
      <c r="CA11" s="25">
        <f t="shared" si="14"/>
        <v>5.3333333333333337E-2</v>
      </c>
      <c r="CB11" s="75">
        <f t="shared" si="15"/>
        <v>800000</v>
      </c>
      <c r="CC11" s="75"/>
      <c r="CD11" s="75"/>
      <c r="CE11" s="75"/>
      <c r="CF11" s="75"/>
      <c r="CG11" s="75"/>
      <c r="CH11" s="75">
        <f>+'[1]AGOSTO 2015'!$H$1999</f>
        <v>800000</v>
      </c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25">
        <f t="shared" si="16"/>
        <v>0.94666666666666666</v>
      </c>
      <c r="CX11" s="75">
        <f t="shared" si="17"/>
        <v>14200000</v>
      </c>
      <c r="CY11" s="75">
        <f t="shared" si="18"/>
        <v>0</v>
      </c>
      <c r="CZ11" s="75">
        <f t="shared" si="19"/>
        <v>0</v>
      </c>
      <c r="DA11" s="75"/>
      <c r="DB11" s="75">
        <f t="shared" si="20"/>
        <v>0</v>
      </c>
      <c r="DC11" s="75">
        <f t="shared" si="21"/>
        <v>0</v>
      </c>
      <c r="DD11" s="75">
        <f t="shared" si="22"/>
        <v>14200000</v>
      </c>
      <c r="DE11" s="75">
        <f t="shared" si="23"/>
        <v>0</v>
      </c>
      <c r="DF11" s="75"/>
      <c r="DG11" s="75">
        <f t="shared" si="24"/>
        <v>0</v>
      </c>
      <c r="DH11" s="75">
        <f t="shared" si="25"/>
        <v>0</v>
      </c>
      <c r="DI11" s="75"/>
      <c r="DJ11" s="75">
        <f t="shared" si="26"/>
        <v>0</v>
      </c>
      <c r="DK11" s="75">
        <f t="shared" si="27"/>
        <v>0</v>
      </c>
      <c r="DL11" s="75">
        <f t="shared" si="28"/>
        <v>0</v>
      </c>
      <c r="DM11" s="75">
        <f t="shared" si="29"/>
        <v>0</v>
      </c>
      <c r="DN11" s="75">
        <f t="shared" si="30"/>
        <v>0</v>
      </c>
      <c r="DO11" s="75">
        <f t="shared" si="31"/>
        <v>0</v>
      </c>
      <c r="DP11" s="75">
        <f t="shared" si="32"/>
        <v>0</v>
      </c>
      <c r="DQ11" s="75"/>
      <c r="DR11" s="75">
        <f t="shared" si="33"/>
        <v>0</v>
      </c>
    </row>
    <row r="12" spans="1:122" ht="34.5" hidden="1" customHeight="1" x14ac:dyDescent="0.25">
      <c r="A12" s="226"/>
      <c r="B12" s="134"/>
      <c r="C12" s="82" t="s">
        <v>493</v>
      </c>
      <c r="D12" s="81" t="s">
        <v>492</v>
      </c>
      <c r="E12" s="97">
        <v>510</v>
      </c>
      <c r="F12" s="78" t="s">
        <v>428</v>
      </c>
      <c r="G12" s="228"/>
      <c r="H12" s="79">
        <f t="shared" si="0"/>
        <v>10000000</v>
      </c>
      <c r="I12" s="79">
        <f t="shared" si="1"/>
        <v>0</v>
      </c>
      <c r="J12" s="228"/>
      <c r="K12" s="228"/>
      <c r="L12" s="78"/>
      <c r="M12" s="75">
        <f t="shared" si="2"/>
        <v>10000000</v>
      </c>
      <c r="N12" s="75"/>
      <c r="O12" s="75"/>
      <c r="P12" s="75"/>
      <c r="Q12" s="75"/>
      <c r="R12" s="75"/>
      <c r="S12" s="75">
        <v>10000000</v>
      </c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I12" s="25">
        <f t="shared" si="3"/>
        <v>1</v>
      </c>
      <c r="AJ12" s="75">
        <f t="shared" si="4"/>
        <v>10000000</v>
      </c>
      <c r="AK12" s="75"/>
      <c r="AL12" s="75"/>
      <c r="AM12" s="75"/>
      <c r="AN12" s="75"/>
      <c r="AO12" s="75"/>
      <c r="AP12" s="75">
        <f>+'[3]ABRIL 2015'!$N$1193</f>
        <v>10000000</v>
      </c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25">
        <f t="shared" si="5"/>
        <v>0</v>
      </c>
      <c r="BF12" s="75">
        <f t="shared" si="6"/>
        <v>0</v>
      </c>
      <c r="BG12" s="75">
        <f t="shared" si="7"/>
        <v>0</v>
      </c>
      <c r="BH12" s="75">
        <f t="shared" si="8"/>
        <v>0</v>
      </c>
      <c r="BI12" s="75"/>
      <c r="BJ12" s="75">
        <f t="shared" si="9"/>
        <v>0</v>
      </c>
      <c r="BK12" s="75"/>
      <c r="BL12" s="75">
        <f t="shared" si="10"/>
        <v>0</v>
      </c>
      <c r="BM12" s="75">
        <f t="shared" si="11"/>
        <v>0</v>
      </c>
      <c r="BN12" s="75"/>
      <c r="BO12" s="75"/>
      <c r="BP12" s="75"/>
      <c r="BQ12" s="75"/>
      <c r="BR12" s="75">
        <f t="shared" si="34"/>
        <v>0</v>
      </c>
      <c r="BS12" s="75">
        <f t="shared" si="35"/>
        <v>0</v>
      </c>
      <c r="BT12" s="75">
        <f t="shared" si="36"/>
        <v>0</v>
      </c>
      <c r="BU12" s="75">
        <f t="shared" si="37"/>
        <v>0</v>
      </c>
      <c r="BV12" s="75">
        <f t="shared" si="38"/>
        <v>0</v>
      </c>
      <c r="BW12" s="75">
        <f t="shared" si="39"/>
        <v>0</v>
      </c>
      <c r="BX12" s="75"/>
      <c r="BY12" s="75"/>
      <c r="BZ12" s="75">
        <f t="shared" si="13"/>
        <v>0</v>
      </c>
      <c r="CA12" s="25">
        <f t="shared" si="14"/>
        <v>1</v>
      </c>
      <c r="CB12" s="75">
        <f t="shared" si="15"/>
        <v>10000000</v>
      </c>
      <c r="CC12" s="75"/>
      <c r="CD12" s="75"/>
      <c r="CE12" s="75"/>
      <c r="CF12" s="75"/>
      <c r="CG12" s="75"/>
      <c r="CH12" s="75">
        <f>+'[3]ABRIL 2015'!$H$1194</f>
        <v>10000000</v>
      </c>
      <c r="CI12" s="75"/>
      <c r="CJ12" s="75"/>
      <c r="CK12" s="75"/>
      <c r="CL12" s="75"/>
      <c r="CM12" s="75"/>
      <c r="CN12" s="75"/>
      <c r="CO12" s="75"/>
      <c r="CP12" s="75"/>
      <c r="CQ12" s="75"/>
      <c r="CR12" s="75"/>
      <c r="CS12" s="75"/>
      <c r="CT12" s="75"/>
      <c r="CU12" s="75"/>
      <c r="CV12" s="75"/>
      <c r="CW12" s="25">
        <f t="shared" si="16"/>
        <v>0</v>
      </c>
      <c r="CX12" s="75">
        <f t="shared" si="17"/>
        <v>0</v>
      </c>
      <c r="CY12" s="75">
        <f t="shared" si="18"/>
        <v>0</v>
      </c>
      <c r="CZ12" s="75">
        <f t="shared" si="19"/>
        <v>0</v>
      </c>
      <c r="DA12" s="75"/>
      <c r="DB12" s="75">
        <f t="shared" si="20"/>
        <v>0</v>
      </c>
      <c r="DC12" s="75">
        <f t="shared" si="21"/>
        <v>0</v>
      </c>
      <c r="DD12" s="75">
        <f t="shared" si="22"/>
        <v>0</v>
      </c>
      <c r="DE12" s="75">
        <f t="shared" si="23"/>
        <v>0</v>
      </c>
      <c r="DF12" s="75"/>
      <c r="DG12" s="75">
        <f t="shared" si="24"/>
        <v>0</v>
      </c>
      <c r="DH12" s="75">
        <f t="shared" si="25"/>
        <v>0</v>
      </c>
      <c r="DI12" s="75"/>
      <c r="DJ12" s="75">
        <f t="shared" si="26"/>
        <v>0</v>
      </c>
      <c r="DK12" s="75">
        <f t="shared" si="27"/>
        <v>0</v>
      </c>
      <c r="DL12" s="75">
        <f t="shared" si="28"/>
        <v>0</v>
      </c>
      <c r="DM12" s="75">
        <f t="shared" si="29"/>
        <v>0</v>
      </c>
      <c r="DN12" s="75">
        <f t="shared" si="30"/>
        <v>0</v>
      </c>
      <c r="DO12" s="75">
        <f t="shared" si="31"/>
        <v>0</v>
      </c>
      <c r="DP12" s="75">
        <f t="shared" si="32"/>
        <v>0</v>
      </c>
      <c r="DQ12" s="75"/>
      <c r="DR12" s="75">
        <f t="shared" si="33"/>
        <v>0</v>
      </c>
    </row>
    <row r="13" spans="1:122" ht="52.5" hidden="1" customHeight="1" x14ac:dyDescent="0.25">
      <c r="A13" s="226"/>
      <c r="B13" s="134"/>
      <c r="C13" s="82" t="s">
        <v>491</v>
      </c>
      <c r="D13" s="81" t="s">
        <v>490</v>
      </c>
      <c r="E13" s="97">
        <v>510</v>
      </c>
      <c r="F13" s="78" t="s">
        <v>428</v>
      </c>
      <c r="G13" s="228"/>
      <c r="H13" s="79">
        <f t="shared" si="0"/>
        <v>5100000</v>
      </c>
      <c r="I13" s="79">
        <f t="shared" si="1"/>
        <v>24900000</v>
      </c>
      <c r="J13" s="228"/>
      <c r="K13" s="228"/>
      <c r="L13" s="78"/>
      <c r="M13" s="75">
        <f t="shared" si="2"/>
        <v>30000000</v>
      </c>
      <c r="N13" s="75"/>
      <c r="O13" s="75"/>
      <c r="P13" s="75"/>
      <c r="Q13" s="75"/>
      <c r="R13" s="75"/>
      <c r="S13" s="75">
        <v>30000000</v>
      </c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I13" s="25">
        <f t="shared" si="3"/>
        <v>0.22085333333333335</v>
      </c>
      <c r="AJ13" s="75">
        <f t="shared" si="4"/>
        <v>6625600</v>
      </c>
      <c r="AK13" s="75"/>
      <c r="AL13" s="75"/>
      <c r="AM13" s="75"/>
      <c r="AN13" s="75"/>
      <c r="AO13" s="75"/>
      <c r="AP13" s="75">
        <f>+'[1]AGOSTO 2015'!$O$2012</f>
        <v>6625600</v>
      </c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25">
        <f t="shared" si="5"/>
        <v>0.77914666666666665</v>
      </c>
      <c r="BF13" s="75">
        <f t="shared" si="6"/>
        <v>23374400</v>
      </c>
      <c r="BG13" s="75">
        <f t="shared" si="7"/>
        <v>0</v>
      </c>
      <c r="BH13" s="75">
        <f t="shared" si="8"/>
        <v>0</v>
      </c>
      <c r="BI13" s="75"/>
      <c r="BJ13" s="75">
        <f t="shared" si="9"/>
        <v>0</v>
      </c>
      <c r="BK13" s="75"/>
      <c r="BL13" s="75">
        <f t="shared" si="10"/>
        <v>23374400</v>
      </c>
      <c r="BM13" s="75">
        <f t="shared" si="11"/>
        <v>0</v>
      </c>
      <c r="BN13" s="75"/>
      <c r="BO13" s="75"/>
      <c r="BP13" s="75"/>
      <c r="BQ13" s="75"/>
      <c r="BR13" s="75">
        <f t="shared" si="34"/>
        <v>0</v>
      </c>
      <c r="BS13" s="75">
        <f t="shared" si="35"/>
        <v>0</v>
      </c>
      <c r="BT13" s="75">
        <f t="shared" si="36"/>
        <v>0</v>
      </c>
      <c r="BU13" s="75">
        <f t="shared" si="37"/>
        <v>0</v>
      </c>
      <c r="BV13" s="75">
        <f t="shared" si="38"/>
        <v>0</v>
      </c>
      <c r="BW13" s="75">
        <f t="shared" si="39"/>
        <v>0</v>
      </c>
      <c r="BX13" s="75"/>
      <c r="BY13" s="75"/>
      <c r="BZ13" s="75">
        <f t="shared" si="13"/>
        <v>0</v>
      </c>
      <c r="CA13" s="25">
        <f t="shared" si="14"/>
        <v>0.17</v>
      </c>
      <c r="CB13" s="75">
        <f t="shared" si="15"/>
        <v>5100000</v>
      </c>
      <c r="CC13" s="75"/>
      <c r="CD13" s="75"/>
      <c r="CE13" s="75"/>
      <c r="CF13" s="75"/>
      <c r="CG13" s="75"/>
      <c r="CH13" s="75">
        <f>+'[1]AGOSTO 2015'!$H$2010</f>
        <v>5100000</v>
      </c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25">
        <f t="shared" si="16"/>
        <v>0.83</v>
      </c>
      <c r="CX13" s="75">
        <f t="shared" si="17"/>
        <v>24900000</v>
      </c>
      <c r="CY13" s="75">
        <f t="shared" si="18"/>
        <v>0</v>
      </c>
      <c r="CZ13" s="75">
        <f t="shared" si="19"/>
        <v>0</v>
      </c>
      <c r="DA13" s="75"/>
      <c r="DB13" s="75">
        <f t="shared" si="20"/>
        <v>0</v>
      </c>
      <c r="DC13" s="75">
        <f t="shared" si="21"/>
        <v>0</v>
      </c>
      <c r="DD13" s="75">
        <f t="shared" si="22"/>
        <v>24900000</v>
      </c>
      <c r="DE13" s="75">
        <f t="shared" si="23"/>
        <v>0</v>
      </c>
      <c r="DF13" s="75"/>
      <c r="DG13" s="75">
        <f t="shared" si="24"/>
        <v>0</v>
      </c>
      <c r="DH13" s="75">
        <f t="shared" si="25"/>
        <v>0</v>
      </c>
      <c r="DI13" s="75"/>
      <c r="DJ13" s="75">
        <f t="shared" si="26"/>
        <v>0</v>
      </c>
      <c r="DK13" s="75">
        <f t="shared" si="27"/>
        <v>0</v>
      </c>
      <c r="DL13" s="75">
        <f t="shared" si="28"/>
        <v>0</v>
      </c>
      <c r="DM13" s="75">
        <f t="shared" si="29"/>
        <v>0</v>
      </c>
      <c r="DN13" s="75">
        <f t="shared" si="30"/>
        <v>0</v>
      </c>
      <c r="DO13" s="75">
        <f t="shared" si="31"/>
        <v>0</v>
      </c>
      <c r="DP13" s="75">
        <f t="shared" si="32"/>
        <v>0</v>
      </c>
      <c r="DQ13" s="75"/>
      <c r="DR13" s="75">
        <f t="shared" si="33"/>
        <v>0</v>
      </c>
    </row>
    <row r="14" spans="1:122" ht="39" hidden="1" customHeight="1" x14ac:dyDescent="0.25">
      <c r="A14" s="226"/>
      <c r="B14" s="134"/>
      <c r="C14" s="82" t="s">
        <v>489</v>
      </c>
      <c r="D14" s="81" t="s">
        <v>488</v>
      </c>
      <c r="E14" s="97">
        <v>510</v>
      </c>
      <c r="F14" s="78" t="s">
        <v>428</v>
      </c>
      <c r="G14" s="228"/>
      <c r="H14" s="79">
        <f t="shared" si="0"/>
        <v>0</v>
      </c>
      <c r="I14" s="79">
        <f t="shared" si="1"/>
        <v>15000000</v>
      </c>
      <c r="J14" s="228"/>
      <c r="K14" s="228"/>
      <c r="L14" s="78"/>
      <c r="M14" s="75">
        <f t="shared" si="2"/>
        <v>15000000</v>
      </c>
      <c r="N14" s="75"/>
      <c r="O14" s="75"/>
      <c r="P14" s="75"/>
      <c r="Q14" s="75"/>
      <c r="R14" s="75"/>
      <c r="S14" s="75">
        <v>15000000</v>
      </c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I14" s="25">
        <f t="shared" si="3"/>
        <v>0</v>
      </c>
      <c r="AJ14" s="75">
        <f t="shared" si="4"/>
        <v>0</v>
      </c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25">
        <f t="shared" si="5"/>
        <v>1</v>
      </c>
      <c r="BF14" s="75">
        <f t="shared" si="6"/>
        <v>15000000</v>
      </c>
      <c r="BG14" s="75">
        <f t="shared" si="7"/>
        <v>0</v>
      </c>
      <c r="BH14" s="75">
        <f t="shared" si="8"/>
        <v>0</v>
      </c>
      <c r="BI14" s="75"/>
      <c r="BJ14" s="75">
        <f t="shared" si="9"/>
        <v>0</v>
      </c>
      <c r="BK14" s="75"/>
      <c r="BL14" s="75">
        <f t="shared" si="10"/>
        <v>15000000</v>
      </c>
      <c r="BM14" s="75">
        <f t="shared" si="11"/>
        <v>0</v>
      </c>
      <c r="BN14" s="75"/>
      <c r="BO14" s="75"/>
      <c r="BP14" s="75"/>
      <c r="BQ14" s="75"/>
      <c r="BR14" s="75">
        <f t="shared" si="34"/>
        <v>0</v>
      </c>
      <c r="BS14" s="75">
        <f t="shared" si="35"/>
        <v>0</v>
      </c>
      <c r="BT14" s="75">
        <f t="shared" si="36"/>
        <v>0</v>
      </c>
      <c r="BU14" s="75">
        <f t="shared" si="37"/>
        <v>0</v>
      </c>
      <c r="BV14" s="75">
        <f t="shared" si="38"/>
        <v>0</v>
      </c>
      <c r="BW14" s="75">
        <f t="shared" si="39"/>
        <v>0</v>
      </c>
      <c r="BX14" s="75"/>
      <c r="BY14" s="75"/>
      <c r="BZ14" s="75">
        <f t="shared" si="13"/>
        <v>0</v>
      </c>
      <c r="CA14" s="25">
        <f t="shared" si="14"/>
        <v>0</v>
      </c>
      <c r="CB14" s="75">
        <f t="shared" si="15"/>
        <v>0</v>
      </c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25">
        <f t="shared" si="16"/>
        <v>1</v>
      </c>
      <c r="CX14" s="75">
        <f t="shared" si="17"/>
        <v>15000000</v>
      </c>
      <c r="CY14" s="75">
        <f t="shared" si="18"/>
        <v>0</v>
      </c>
      <c r="CZ14" s="75">
        <f t="shared" si="19"/>
        <v>0</v>
      </c>
      <c r="DA14" s="75"/>
      <c r="DB14" s="75">
        <f t="shared" si="20"/>
        <v>0</v>
      </c>
      <c r="DC14" s="75">
        <f t="shared" si="21"/>
        <v>0</v>
      </c>
      <c r="DD14" s="75">
        <f t="shared" si="22"/>
        <v>15000000</v>
      </c>
      <c r="DE14" s="75">
        <f t="shared" si="23"/>
        <v>0</v>
      </c>
      <c r="DF14" s="75"/>
      <c r="DG14" s="75">
        <f t="shared" si="24"/>
        <v>0</v>
      </c>
      <c r="DH14" s="75">
        <f t="shared" si="25"/>
        <v>0</v>
      </c>
      <c r="DI14" s="75"/>
      <c r="DJ14" s="75">
        <f t="shared" si="26"/>
        <v>0</v>
      </c>
      <c r="DK14" s="75">
        <f t="shared" si="27"/>
        <v>0</v>
      </c>
      <c r="DL14" s="75">
        <f t="shared" si="28"/>
        <v>0</v>
      </c>
      <c r="DM14" s="75">
        <f t="shared" si="29"/>
        <v>0</v>
      </c>
      <c r="DN14" s="75">
        <f t="shared" si="30"/>
        <v>0</v>
      </c>
      <c r="DO14" s="75">
        <f t="shared" si="31"/>
        <v>0</v>
      </c>
      <c r="DP14" s="75">
        <f t="shared" si="32"/>
        <v>0</v>
      </c>
      <c r="DQ14" s="75"/>
      <c r="DR14" s="75">
        <f t="shared" si="33"/>
        <v>0</v>
      </c>
    </row>
    <row r="15" spans="1:122" ht="33" hidden="1" customHeight="1" x14ac:dyDescent="0.25">
      <c r="A15" s="226"/>
      <c r="B15" s="134"/>
      <c r="C15" s="82" t="s">
        <v>487</v>
      </c>
      <c r="D15" s="81" t="s">
        <v>486</v>
      </c>
      <c r="E15" s="97">
        <v>510</v>
      </c>
      <c r="F15" s="78" t="s">
        <v>428</v>
      </c>
      <c r="G15" s="228"/>
      <c r="H15" s="79">
        <f t="shared" si="0"/>
        <v>0</v>
      </c>
      <c r="I15" s="79">
        <f t="shared" si="1"/>
        <v>10000000</v>
      </c>
      <c r="J15" s="228"/>
      <c r="K15" s="228"/>
      <c r="L15" s="78"/>
      <c r="M15" s="75">
        <f t="shared" si="2"/>
        <v>10000000</v>
      </c>
      <c r="N15" s="75"/>
      <c r="O15" s="75"/>
      <c r="P15" s="75"/>
      <c r="Q15" s="75"/>
      <c r="R15" s="75"/>
      <c r="S15" s="75">
        <v>10000000</v>
      </c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I15" s="25">
        <f t="shared" si="3"/>
        <v>0</v>
      </c>
      <c r="AJ15" s="75">
        <f t="shared" si="4"/>
        <v>0</v>
      </c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25">
        <f t="shared" si="5"/>
        <v>1</v>
      </c>
      <c r="BF15" s="75">
        <f t="shared" si="6"/>
        <v>10000000</v>
      </c>
      <c r="BG15" s="75">
        <f t="shared" si="7"/>
        <v>0</v>
      </c>
      <c r="BH15" s="75">
        <f t="shared" si="8"/>
        <v>0</v>
      </c>
      <c r="BI15" s="75"/>
      <c r="BJ15" s="75">
        <f t="shared" si="9"/>
        <v>0</v>
      </c>
      <c r="BK15" s="75"/>
      <c r="BL15" s="75">
        <f t="shared" si="10"/>
        <v>10000000</v>
      </c>
      <c r="BM15" s="75">
        <f t="shared" si="11"/>
        <v>0</v>
      </c>
      <c r="BN15" s="75"/>
      <c r="BO15" s="75"/>
      <c r="BP15" s="75"/>
      <c r="BQ15" s="75"/>
      <c r="BR15" s="75">
        <f t="shared" si="34"/>
        <v>0</v>
      </c>
      <c r="BS15" s="75">
        <f t="shared" si="35"/>
        <v>0</v>
      </c>
      <c r="BT15" s="75">
        <f t="shared" si="36"/>
        <v>0</v>
      </c>
      <c r="BU15" s="75">
        <f t="shared" si="37"/>
        <v>0</v>
      </c>
      <c r="BV15" s="75">
        <f t="shared" si="38"/>
        <v>0</v>
      </c>
      <c r="BW15" s="75">
        <f t="shared" si="39"/>
        <v>0</v>
      </c>
      <c r="BX15" s="75"/>
      <c r="BY15" s="75"/>
      <c r="BZ15" s="75">
        <f t="shared" si="13"/>
        <v>0</v>
      </c>
      <c r="CA15" s="25">
        <f t="shared" si="14"/>
        <v>0</v>
      </c>
      <c r="CB15" s="75">
        <f t="shared" si="15"/>
        <v>0</v>
      </c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5"/>
      <c r="CO15" s="75"/>
      <c r="CP15" s="75"/>
      <c r="CQ15" s="75"/>
      <c r="CR15" s="75"/>
      <c r="CS15" s="75"/>
      <c r="CT15" s="75"/>
      <c r="CU15" s="75"/>
      <c r="CV15" s="75"/>
      <c r="CW15" s="25">
        <f t="shared" si="16"/>
        <v>1</v>
      </c>
      <c r="CX15" s="75">
        <f t="shared" si="17"/>
        <v>10000000</v>
      </c>
      <c r="CY15" s="75">
        <f t="shared" si="18"/>
        <v>0</v>
      </c>
      <c r="CZ15" s="75">
        <f t="shared" si="19"/>
        <v>0</v>
      </c>
      <c r="DA15" s="75"/>
      <c r="DB15" s="75">
        <f t="shared" si="20"/>
        <v>0</v>
      </c>
      <c r="DC15" s="75">
        <f t="shared" si="21"/>
        <v>0</v>
      </c>
      <c r="DD15" s="75">
        <f t="shared" si="22"/>
        <v>10000000</v>
      </c>
      <c r="DE15" s="75">
        <f t="shared" si="23"/>
        <v>0</v>
      </c>
      <c r="DF15" s="75"/>
      <c r="DG15" s="75">
        <f t="shared" si="24"/>
        <v>0</v>
      </c>
      <c r="DH15" s="75">
        <f t="shared" si="25"/>
        <v>0</v>
      </c>
      <c r="DI15" s="75"/>
      <c r="DJ15" s="75">
        <f t="shared" si="26"/>
        <v>0</v>
      </c>
      <c r="DK15" s="75">
        <f t="shared" si="27"/>
        <v>0</v>
      </c>
      <c r="DL15" s="75">
        <f t="shared" si="28"/>
        <v>0</v>
      </c>
      <c r="DM15" s="75">
        <f t="shared" si="29"/>
        <v>0</v>
      </c>
      <c r="DN15" s="75">
        <f t="shared" si="30"/>
        <v>0</v>
      </c>
      <c r="DO15" s="75">
        <f t="shared" si="31"/>
        <v>0</v>
      </c>
      <c r="DP15" s="75">
        <f t="shared" si="32"/>
        <v>0</v>
      </c>
      <c r="DQ15" s="75"/>
      <c r="DR15" s="75">
        <f t="shared" si="33"/>
        <v>0</v>
      </c>
    </row>
    <row r="16" spans="1:122" ht="29.25" hidden="1" customHeight="1" x14ac:dyDescent="0.25">
      <c r="A16" s="226"/>
      <c r="B16" s="134"/>
      <c r="C16" s="82" t="s">
        <v>485</v>
      </c>
      <c r="D16" s="81" t="s">
        <v>484</v>
      </c>
      <c r="E16" s="97">
        <v>510</v>
      </c>
      <c r="F16" s="78" t="s">
        <v>428</v>
      </c>
      <c r="G16" s="229"/>
      <c r="H16" s="79">
        <f t="shared" si="0"/>
        <v>0</v>
      </c>
      <c r="I16" s="79">
        <f t="shared" si="1"/>
        <v>0</v>
      </c>
      <c r="J16" s="229"/>
      <c r="K16" s="229"/>
      <c r="L16" s="78"/>
      <c r="M16" s="75">
        <f t="shared" si="2"/>
        <v>0</v>
      </c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>
        <f>100000000-100000000</f>
        <v>0</v>
      </c>
      <c r="AC16" s="75"/>
      <c r="AD16" s="75"/>
      <c r="AE16" s="75"/>
      <c r="AF16" s="75"/>
      <c r="AG16" s="75"/>
      <c r="AI16" s="25" t="e">
        <f t="shared" si="3"/>
        <v>#DIV/0!</v>
      </c>
      <c r="AJ16" s="75">
        <f t="shared" si="4"/>
        <v>0</v>
      </c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25" t="e">
        <f t="shared" si="5"/>
        <v>#DIV/0!</v>
      </c>
      <c r="BF16" s="75">
        <f t="shared" si="6"/>
        <v>0</v>
      </c>
      <c r="BG16" s="75">
        <f t="shared" si="7"/>
        <v>0</v>
      </c>
      <c r="BH16" s="75">
        <f t="shared" si="8"/>
        <v>0</v>
      </c>
      <c r="BI16" s="75"/>
      <c r="BJ16" s="75">
        <f t="shared" si="9"/>
        <v>0</v>
      </c>
      <c r="BK16" s="75"/>
      <c r="BL16" s="75">
        <f t="shared" si="10"/>
        <v>0</v>
      </c>
      <c r="BM16" s="75">
        <f t="shared" si="11"/>
        <v>0</v>
      </c>
      <c r="BN16" s="75"/>
      <c r="BO16" s="75"/>
      <c r="BP16" s="75"/>
      <c r="BQ16" s="75"/>
      <c r="BR16" s="75">
        <f t="shared" si="34"/>
        <v>0</v>
      </c>
      <c r="BS16" s="75">
        <f t="shared" si="35"/>
        <v>0</v>
      </c>
      <c r="BT16" s="75">
        <f t="shared" si="36"/>
        <v>0</v>
      </c>
      <c r="BU16" s="75">
        <f t="shared" si="37"/>
        <v>0</v>
      </c>
      <c r="BV16" s="75">
        <f t="shared" si="38"/>
        <v>0</v>
      </c>
      <c r="BW16" s="75">
        <f t="shared" si="39"/>
        <v>0</v>
      </c>
      <c r="BX16" s="75"/>
      <c r="BY16" s="75"/>
      <c r="BZ16" s="75">
        <f t="shared" si="13"/>
        <v>0</v>
      </c>
      <c r="CA16" s="25" t="e">
        <f t="shared" si="14"/>
        <v>#DIV/0!</v>
      </c>
      <c r="CB16" s="75">
        <f t="shared" si="15"/>
        <v>0</v>
      </c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25" t="e">
        <f t="shared" si="16"/>
        <v>#DIV/0!</v>
      </c>
      <c r="CX16" s="75">
        <f t="shared" si="17"/>
        <v>0</v>
      </c>
      <c r="CY16" s="75">
        <f t="shared" si="18"/>
        <v>0</v>
      </c>
      <c r="CZ16" s="75">
        <f t="shared" si="19"/>
        <v>0</v>
      </c>
      <c r="DA16" s="75"/>
      <c r="DB16" s="75">
        <f t="shared" si="20"/>
        <v>0</v>
      </c>
      <c r="DC16" s="75">
        <f t="shared" si="21"/>
        <v>0</v>
      </c>
      <c r="DD16" s="75">
        <f t="shared" si="22"/>
        <v>0</v>
      </c>
      <c r="DE16" s="75">
        <f t="shared" si="23"/>
        <v>0</v>
      </c>
      <c r="DF16" s="75"/>
      <c r="DG16" s="75">
        <f t="shared" si="24"/>
        <v>0</v>
      </c>
      <c r="DH16" s="75">
        <f t="shared" si="25"/>
        <v>0</v>
      </c>
      <c r="DI16" s="75"/>
      <c r="DJ16" s="75">
        <f t="shared" si="26"/>
        <v>0</v>
      </c>
      <c r="DK16" s="75">
        <f t="shared" si="27"/>
        <v>0</v>
      </c>
      <c r="DL16" s="75">
        <f t="shared" si="28"/>
        <v>0</v>
      </c>
      <c r="DM16" s="75">
        <f t="shared" si="29"/>
        <v>0</v>
      </c>
      <c r="DN16" s="75">
        <f t="shared" si="30"/>
        <v>0</v>
      </c>
      <c r="DO16" s="75">
        <f t="shared" si="31"/>
        <v>0</v>
      </c>
      <c r="DP16" s="75">
        <f t="shared" si="32"/>
        <v>0</v>
      </c>
      <c r="DQ16" s="75"/>
      <c r="DR16" s="75">
        <f t="shared" si="33"/>
        <v>0</v>
      </c>
    </row>
    <row r="17" spans="1:122" ht="66.75" hidden="1" customHeight="1" x14ac:dyDescent="0.25">
      <c r="A17" s="226"/>
      <c r="B17" s="140" t="s">
        <v>483</v>
      </c>
      <c r="C17" s="82" t="s">
        <v>482</v>
      </c>
      <c r="D17" s="81" t="s">
        <v>481</v>
      </c>
      <c r="E17" s="97">
        <v>310</v>
      </c>
      <c r="F17" s="78" t="s">
        <v>480</v>
      </c>
      <c r="G17" s="227">
        <v>916000000</v>
      </c>
      <c r="H17" s="79">
        <f t="shared" si="0"/>
        <v>196858180</v>
      </c>
      <c r="I17" s="79">
        <f t="shared" si="1"/>
        <v>438065439</v>
      </c>
      <c r="J17" s="227" t="s">
        <v>479</v>
      </c>
      <c r="K17" s="227" t="s">
        <v>478</v>
      </c>
      <c r="L17" s="227" t="s">
        <v>477</v>
      </c>
      <c r="M17" s="75">
        <f t="shared" si="2"/>
        <v>634923619</v>
      </c>
      <c r="N17" s="75"/>
      <c r="O17" s="75"/>
      <c r="P17" s="75"/>
      <c r="Q17" s="75"/>
      <c r="R17" s="75"/>
      <c r="S17" s="75">
        <v>390000000</v>
      </c>
      <c r="T17" s="75"/>
      <c r="U17" s="75"/>
      <c r="V17" s="75"/>
      <c r="W17" s="75"/>
      <c r="X17" s="75"/>
      <c r="Y17" s="75"/>
      <c r="Z17" s="75"/>
      <c r="AA17" s="75"/>
      <c r="AB17" s="75">
        <v>150000000</v>
      </c>
      <c r="AC17" s="75"/>
      <c r="AD17" s="75"/>
      <c r="AE17" s="75"/>
      <c r="AF17" s="75"/>
      <c r="AG17" s="75">
        <f>12388298+18001909+6000000+20000000+3962083+17271329+17300000</f>
        <v>94923619</v>
      </c>
      <c r="AI17" s="25">
        <f t="shared" si="3"/>
        <v>0.37726076307770812</v>
      </c>
      <c r="AJ17" s="75">
        <f t="shared" si="4"/>
        <v>239531769</v>
      </c>
      <c r="AK17" s="75"/>
      <c r="AL17" s="75"/>
      <c r="AM17" s="75"/>
      <c r="AN17" s="75"/>
      <c r="AO17" s="75"/>
      <c r="AP17" s="75">
        <f>+'[1]AGOSTO 2015'!$O$440</f>
        <v>154777628</v>
      </c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>
        <f>+'[1]AGOSTO 2015'!$AD$440</f>
        <v>84754141</v>
      </c>
      <c r="BE17" s="25">
        <f t="shared" si="5"/>
        <v>0.62273923692229194</v>
      </c>
      <c r="BF17" s="75">
        <f t="shared" si="6"/>
        <v>395391850</v>
      </c>
      <c r="BG17" s="75">
        <f t="shared" si="7"/>
        <v>0</v>
      </c>
      <c r="BH17" s="75">
        <f t="shared" si="8"/>
        <v>0</v>
      </c>
      <c r="BI17" s="75"/>
      <c r="BJ17" s="75">
        <f t="shared" si="9"/>
        <v>0</v>
      </c>
      <c r="BK17" s="75"/>
      <c r="BL17" s="75">
        <f t="shared" si="10"/>
        <v>235222372</v>
      </c>
      <c r="BM17" s="75">
        <f t="shared" si="11"/>
        <v>0</v>
      </c>
      <c r="BN17" s="75"/>
      <c r="BO17" s="75"/>
      <c r="BP17" s="75"/>
      <c r="BQ17" s="75"/>
      <c r="BR17" s="75">
        <f t="shared" si="34"/>
        <v>0</v>
      </c>
      <c r="BS17" s="75">
        <f t="shared" si="35"/>
        <v>0</v>
      </c>
      <c r="BT17" s="75">
        <f t="shared" si="36"/>
        <v>0</v>
      </c>
      <c r="BU17" s="75">
        <f t="shared" si="37"/>
        <v>150000000</v>
      </c>
      <c r="BV17" s="75">
        <f t="shared" si="38"/>
        <v>0</v>
      </c>
      <c r="BW17" s="75">
        <f t="shared" si="39"/>
        <v>0</v>
      </c>
      <c r="BX17" s="75"/>
      <c r="BY17" s="75"/>
      <c r="BZ17" s="75">
        <f t="shared" si="13"/>
        <v>10169478</v>
      </c>
      <c r="CA17" s="25">
        <f t="shared" si="14"/>
        <v>0.31005017628742521</v>
      </c>
      <c r="CB17" s="75">
        <f t="shared" si="15"/>
        <v>196858180</v>
      </c>
      <c r="CC17" s="75"/>
      <c r="CD17" s="75"/>
      <c r="CE17" s="75"/>
      <c r="CF17" s="75"/>
      <c r="CG17" s="75"/>
      <c r="CH17" s="75">
        <f>+'[1]AGOSTO 2015'!$H$438-CV17</f>
        <v>153577628</v>
      </c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>
        <f>+'[1]AGOSTO 2015'!$H$441+'[1]AGOSTO 2015'!$H$465+'[1]AGOSTO 2015'!$H$471+'[1]AGOSTO 2015'!$H$490+'[1]AGOSTO 2015'!$H$571+'[1]AGOSTO 2015'!$H$633</f>
        <v>43280552</v>
      </c>
      <c r="CW17" s="25">
        <f t="shared" si="16"/>
        <v>0.68994982371257474</v>
      </c>
      <c r="CX17" s="75">
        <f t="shared" si="17"/>
        <v>438065439</v>
      </c>
      <c r="CY17" s="75">
        <f t="shared" si="18"/>
        <v>0</v>
      </c>
      <c r="CZ17" s="75">
        <f t="shared" si="19"/>
        <v>0</v>
      </c>
      <c r="DA17" s="75"/>
      <c r="DB17" s="75">
        <f t="shared" si="20"/>
        <v>0</v>
      </c>
      <c r="DC17" s="75">
        <f t="shared" si="21"/>
        <v>0</v>
      </c>
      <c r="DD17" s="75">
        <f t="shared" si="22"/>
        <v>236422372</v>
      </c>
      <c r="DE17" s="75">
        <f t="shared" si="23"/>
        <v>0</v>
      </c>
      <c r="DF17" s="75"/>
      <c r="DG17" s="75">
        <f t="shared" si="24"/>
        <v>0</v>
      </c>
      <c r="DH17" s="75">
        <f t="shared" si="25"/>
        <v>0</v>
      </c>
      <c r="DI17" s="75"/>
      <c r="DJ17" s="75">
        <f t="shared" si="26"/>
        <v>0</v>
      </c>
      <c r="DK17" s="75">
        <f t="shared" si="27"/>
        <v>0</v>
      </c>
      <c r="DL17" s="75">
        <f t="shared" si="28"/>
        <v>0</v>
      </c>
      <c r="DM17" s="75">
        <f t="shared" si="29"/>
        <v>150000000</v>
      </c>
      <c r="DN17" s="75">
        <f t="shared" si="30"/>
        <v>0</v>
      </c>
      <c r="DO17" s="75">
        <f t="shared" si="31"/>
        <v>0</v>
      </c>
      <c r="DP17" s="75">
        <f t="shared" si="32"/>
        <v>0</v>
      </c>
      <c r="DQ17" s="75"/>
      <c r="DR17" s="75">
        <f t="shared" si="33"/>
        <v>51643067</v>
      </c>
    </row>
    <row r="18" spans="1:122" ht="32.25" hidden="1" customHeight="1" x14ac:dyDescent="0.25">
      <c r="A18" s="226"/>
      <c r="B18" s="134"/>
      <c r="C18" s="82" t="s">
        <v>476</v>
      </c>
      <c r="D18" s="81" t="s">
        <v>475</v>
      </c>
      <c r="E18" s="97">
        <v>310</v>
      </c>
      <c r="F18" s="78" t="s">
        <v>425</v>
      </c>
      <c r="G18" s="228"/>
      <c r="H18" s="79">
        <f t="shared" si="0"/>
        <v>126849675</v>
      </c>
      <c r="I18" s="79">
        <f t="shared" si="1"/>
        <v>98135469</v>
      </c>
      <c r="J18" s="228"/>
      <c r="K18" s="228"/>
      <c r="L18" s="228"/>
      <c r="M18" s="75">
        <f t="shared" si="2"/>
        <v>224985144</v>
      </c>
      <c r="N18" s="75"/>
      <c r="O18" s="75"/>
      <c r="P18" s="75"/>
      <c r="Q18" s="75"/>
      <c r="R18" s="75"/>
      <c r="S18" s="75">
        <v>30000000</v>
      </c>
      <c r="T18" s="75">
        <f>222000000-30014856</f>
        <v>191985144</v>
      </c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>
        <v>3000000</v>
      </c>
      <c r="AH18" s="139"/>
      <c r="AI18" s="25">
        <f t="shared" si="3"/>
        <v>0.57639661310259671</v>
      </c>
      <c r="AJ18" s="75">
        <f t="shared" si="4"/>
        <v>129680675</v>
      </c>
      <c r="AK18" s="75"/>
      <c r="AL18" s="75"/>
      <c r="AM18" s="75"/>
      <c r="AN18" s="75"/>
      <c r="AO18" s="75"/>
      <c r="AP18" s="75">
        <f>+'[2]JULIO 2015'!$O$577</f>
        <v>30000000</v>
      </c>
      <c r="AQ18" s="75">
        <f>+'[1]AGOSTO 2015'!$P$654</f>
        <v>99680675</v>
      </c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25">
        <f t="shared" si="5"/>
        <v>0.42360338689740329</v>
      </c>
      <c r="BF18" s="75">
        <f t="shared" si="6"/>
        <v>95304469</v>
      </c>
      <c r="BG18" s="75">
        <f t="shared" si="7"/>
        <v>0</v>
      </c>
      <c r="BH18" s="75">
        <f t="shared" si="8"/>
        <v>0</v>
      </c>
      <c r="BI18" s="75"/>
      <c r="BJ18" s="75">
        <f t="shared" si="9"/>
        <v>0</v>
      </c>
      <c r="BK18" s="75"/>
      <c r="BL18" s="75">
        <f t="shared" si="10"/>
        <v>0</v>
      </c>
      <c r="BM18" s="75">
        <f t="shared" si="11"/>
        <v>92304469</v>
      </c>
      <c r="BN18" s="75"/>
      <c r="BO18" s="75">
        <f>+V18-AS18</f>
        <v>0</v>
      </c>
      <c r="BP18" s="75">
        <f>+W18-AT18</f>
        <v>0</v>
      </c>
      <c r="BQ18" s="75">
        <f>+X18-AU18</f>
        <v>0</v>
      </c>
      <c r="BR18" s="75">
        <f t="shared" si="34"/>
        <v>0</v>
      </c>
      <c r="BS18" s="75">
        <f t="shared" si="35"/>
        <v>0</v>
      </c>
      <c r="BT18" s="75">
        <f t="shared" si="36"/>
        <v>0</v>
      </c>
      <c r="BU18" s="75">
        <f t="shared" si="37"/>
        <v>0</v>
      </c>
      <c r="BV18" s="75">
        <f t="shared" si="38"/>
        <v>0</v>
      </c>
      <c r="BW18" s="75">
        <f t="shared" si="39"/>
        <v>0</v>
      </c>
      <c r="BX18" s="75"/>
      <c r="BY18" s="75"/>
      <c r="BZ18" s="75">
        <f t="shared" si="13"/>
        <v>3000000</v>
      </c>
      <c r="CA18" s="25">
        <f t="shared" si="14"/>
        <v>0.56381356006332584</v>
      </c>
      <c r="CB18" s="75">
        <f t="shared" si="15"/>
        <v>126849675</v>
      </c>
      <c r="CC18" s="75"/>
      <c r="CD18" s="75"/>
      <c r="CE18" s="75"/>
      <c r="CF18" s="75"/>
      <c r="CG18" s="75"/>
      <c r="CH18" s="75">
        <f>+'[1]AGOSTO 2015'!$H$655+'[1]AGOSTO 2015'!$H$656+'[1]AGOSTO 2015'!$H$657+'[1]AGOSTO 2015'!$H$658+'[1]AGOSTO 2015'!$H$660+'[1]AGOSTO 2015'!$H$662</f>
        <v>29177750</v>
      </c>
      <c r="CI18" s="75">
        <f>+'[1]AGOSTO 2015'!$H$652-CH18</f>
        <v>97671925</v>
      </c>
      <c r="CJ18" s="75"/>
      <c r="CK18" s="75"/>
      <c r="CL18" s="75"/>
      <c r="CM18" s="75"/>
      <c r="CN18" s="75"/>
      <c r="CO18" s="75"/>
      <c r="CP18" s="75"/>
      <c r="CQ18" s="75"/>
      <c r="CR18" s="75"/>
      <c r="CS18" s="75"/>
      <c r="CT18" s="75"/>
      <c r="CU18" s="75"/>
      <c r="CV18" s="75"/>
      <c r="CW18" s="25">
        <f t="shared" si="16"/>
        <v>0.43618643993667416</v>
      </c>
      <c r="CX18" s="75">
        <f t="shared" si="17"/>
        <v>98135469</v>
      </c>
      <c r="CY18" s="75">
        <f t="shared" si="18"/>
        <v>0</v>
      </c>
      <c r="CZ18" s="75">
        <f t="shared" si="19"/>
        <v>0</v>
      </c>
      <c r="DA18" s="75"/>
      <c r="DB18" s="75">
        <f t="shared" si="20"/>
        <v>0</v>
      </c>
      <c r="DC18" s="75">
        <f t="shared" si="21"/>
        <v>0</v>
      </c>
      <c r="DD18" s="75">
        <f t="shared" si="22"/>
        <v>822250</v>
      </c>
      <c r="DE18" s="75">
        <f t="shared" si="23"/>
        <v>94313219</v>
      </c>
      <c r="DF18" s="75"/>
      <c r="DG18" s="75">
        <f t="shared" si="24"/>
        <v>0</v>
      </c>
      <c r="DH18" s="75">
        <f t="shared" si="25"/>
        <v>0</v>
      </c>
      <c r="DI18" s="75"/>
      <c r="DJ18" s="75">
        <f t="shared" si="26"/>
        <v>0</v>
      </c>
      <c r="DK18" s="75">
        <f t="shared" si="27"/>
        <v>0</v>
      </c>
      <c r="DL18" s="75">
        <f t="shared" si="28"/>
        <v>0</v>
      </c>
      <c r="DM18" s="75">
        <f t="shared" si="29"/>
        <v>0</v>
      </c>
      <c r="DN18" s="75">
        <f t="shared" si="30"/>
        <v>0</v>
      </c>
      <c r="DO18" s="75">
        <f t="shared" si="31"/>
        <v>0</v>
      </c>
      <c r="DP18" s="75">
        <f t="shared" si="32"/>
        <v>0</v>
      </c>
      <c r="DQ18" s="75"/>
      <c r="DR18" s="75">
        <f t="shared" si="33"/>
        <v>3000000</v>
      </c>
    </row>
    <row r="19" spans="1:122" ht="33.75" hidden="1" customHeight="1" x14ac:dyDescent="0.25">
      <c r="A19" s="226"/>
      <c r="B19" s="134"/>
      <c r="C19" s="82" t="s">
        <v>474</v>
      </c>
      <c r="D19" s="81" t="s">
        <v>473</v>
      </c>
      <c r="E19" s="97">
        <v>310</v>
      </c>
      <c r="F19" s="78" t="s">
        <v>428</v>
      </c>
      <c r="G19" s="228"/>
      <c r="H19" s="79">
        <f t="shared" si="0"/>
        <v>74259184</v>
      </c>
      <c r="I19" s="79">
        <f t="shared" si="1"/>
        <v>5740816</v>
      </c>
      <c r="J19" s="228"/>
      <c r="K19" s="228"/>
      <c r="L19" s="228"/>
      <c r="M19" s="75">
        <f t="shared" si="2"/>
        <v>80000000</v>
      </c>
      <c r="N19" s="75"/>
      <c r="O19" s="75">
        <f>144000000-144000000</f>
        <v>0</v>
      </c>
      <c r="P19" s="75"/>
      <c r="Q19" s="75"/>
      <c r="R19" s="75"/>
      <c r="S19" s="75"/>
      <c r="T19" s="75">
        <f>144000000-64000000</f>
        <v>80000000</v>
      </c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139"/>
      <c r="AI19" s="25">
        <f t="shared" si="3"/>
        <v>1</v>
      </c>
      <c r="AJ19" s="75">
        <f t="shared" si="4"/>
        <v>80000000</v>
      </c>
      <c r="AK19" s="75"/>
      <c r="AL19" s="75"/>
      <c r="AM19" s="75"/>
      <c r="AN19" s="75"/>
      <c r="AO19" s="75"/>
      <c r="AP19" s="75"/>
      <c r="AQ19" s="75">
        <f>+'[4]MARZO 2015'!$O$374</f>
        <v>80000000</v>
      </c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25">
        <f t="shared" si="5"/>
        <v>0</v>
      </c>
      <c r="BF19" s="75">
        <f t="shared" si="6"/>
        <v>0</v>
      </c>
      <c r="BG19" s="75">
        <f t="shared" si="7"/>
        <v>0</v>
      </c>
      <c r="BH19" s="75">
        <f t="shared" ref="BH19:BH33" si="40">O19-AL19</f>
        <v>0</v>
      </c>
      <c r="BI19" s="75"/>
      <c r="BJ19" s="75">
        <f t="shared" si="9"/>
        <v>0</v>
      </c>
      <c r="BK19" s="75"/>
      <c r="BL19" s="75">
        <f t="shared" si="10"/>
        <v>0</v>
      </c>
      <c r="BM19" s="75">
        <f t="shared" si="11"/>
        <v>0</v>
      </c>
      <c r="BN19" s="75"/>
      <c r="BO19" s="75"/>
      <c r="BP19" s="75"/>
      <c r="BQ19" s="75"/>
      <c r="BR19" s="75">
        <f t="shared" si="34"/>
        <v>0</v>
      </c>
      <c r="BS19" s="75">
        <f t="shared" si="35"/>
        <v>0</v>
      </c>
      <c r="BT19" s="75">
        <f t="shared" si="36"/>
        <v>0</v>
      </c>
      <c r="BU19" s="75">
        <f t="shared" si="37"/>
        <v>0</v>
      </c>
      <c r="BV19" s="75">
        <f t="shared" si="38"/>
        <v>0</v>
      </c>
      <c r="BW19" s="75">
        <f t="shared" si="39"/>
        <v>0</v>
      </c>
      <c r="BX19" s="75"/>
      <c r="BY19" s="75"/>
      <c r="BZ19" s="75">
        <f t="shared" si="13"/>
        <v>0</v>
      </c>
      <c r="CA19" s="25">
        <f t="shared" si="14"/>
        <v>0.92823979999999995</v>
      </c>
      <c r="CB19" s="75">
        <f t="shared" si="15"/>
        <v>74259184</v>
      </c>
      <c r="CC19" s="75"/>
      <c r="CD19" s="75"/>
      <c r="CE19" s="75"/>
      <c r="CF19" s="75"/>
      <c r="CG19" s="75"/>
      <c r="CH19" s="75"/>
      <c r="CI19" s="75">
        <f>+'[2]JULIO 2015'!$H$596</f>
        <v>74259184</v>
      </c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25">
        <f t="shared" si="16"/>
        <v>7.1760200000000052E-2</v>
      </c>
      <c r="CX19" s="75">
        <f t="shared" si="17"/>
        <v>5740816</v>
      </c>
      <c r="CY19" s="75">
        <f t="shared" si="18"/>
        <v>0</v>
      </c>
      <c r="CZ19" s="75">
        <f t="shared" si="19"/>
        <v>0</v>
      </c>
      <c r="DA19" s="75"/>
      <c r="DB19" s="75">
        <f t="shared" si="20"/>
        <v>0</v>
      </c>
      <c r="DC19" s="75">
        <f t="shared" si="21"/>
        <v>0</v>
      </c>
      <c r="DD19" s="75">
        <f t="shared" si="22"/>
        <v>0</v>
      </c>
      <c r="DE19" s="75">
        <f t="shared" si="23"/>
        <v>5740816</v>
      </c>
      <c r="DF19" s="75"/>
      <c r="DG19" s="75">
        <f t="shared" si="24"/>
        <v>0</v>
      </c>
      <c r="DH19" s="75">
        <f t="shared" si="25"/>
        <v>0</v>
      </c>
      <c r="DI19" s="75"/>
      <c r="DJ19" s="75">
        <f t="shared" si="26"/>
        <v>0</v>
      </c>
      <c r="DK19" s="75">
        <f t="shared" si="27"/>
        <v>0</v>
      </c>
      <c r="DL19" s="75">
        <f t="shared" si="28"/>
        <v>0</v>
      </c>
      <c r="DM19" s="75">
        <f t="shared" si="29"/>
        <v>0</v>
      </c>
      <c r="DN19" s="75">
        <f t="shared" si="30"/>
        <v>0</v>
      </c>
      <c r="DO19" s="75">
        <f t="shared" si="31"/>
        <v>0</v>
      </c>
      <c r="DP19" s="75">
        <f t="shared" si="32"/>
        <v>0</v>
      </c>
      <c r="DQ19" s="75"/>
      <c r="DR19" s="75">
        <f t="shared" si="33"/>
        <v>0</v>
      </c>
    </row>
    <row r="20" spans="1:122" ht="21" hidden="1" customHeight="1" x14ac:dyDescent="0.25">
      <c r="A20" s="226"/>
      <c r="B20" s="134"/>
      <c r="C20" s="82" t="s">
        <v>472</v>
      </c>
      <c r="D20" s="81" t="s">
        <v>471</v>
      </c>
      <c r="E20" s="97">
        <v>310</v>
      </c>
      <c r="F20" s="78" t="s">
        <v>428</v>
      </c>
      <c r="G20" s="228"/>
      <c r="H20" s="79">
        <f t="shared" si="0"/>
        <v>0</v>
      </c>
      <c r="I20" s="79">
        <f t="shared" si="1"/>
        <v>11000000</v>
      </c>
      <c r="J20" s="228"/>
      <c r="K20" s="228"/>
      <c r="L20" s="228"/>
      <c r="M20" s="75">
        <f t="shared" si="2"/>
        <v>11000000</v>
      </c>
      <c r="N20" s="24"/>
      <c r="O20" s="45"/>
      <c r="P20" s="45"/>
      <c r="Q20" s="45"/>
      <c r="R20" s="45"/>
      <c r="S20" s="45"/>
      <c r="T20" s="75">
        <f>4000000-4000000</f>
        <v>0</v>
      </c>
      <c r="U20" s="45"/>
      <c r="V20" s="24"/>
      <c r="W20" s="24"/>
      <c r="X20" s="24"/>
      <c r="Y20" s="24"/>
      <c r="Z20" s="24"/>
      <c r="AA20" s="24"/>
      <c r="AB20" s="75">
        <v>11000000</v>
      </c>
      <c r="AC20" s="24"/>
      <c r="AD20" s="24"/>
      <c r="AE20" s="24"/>
      <c r="AF20" s="24"/>
      <c r="AG20" s="45"/>
      <c r="AH20" s="139"/>
      <c r="AI20" s="25">
        <f t="shared" si="3"/>
        <v>0</v>
      </c>
      <c r="AJ20" s="75">
        <f t="shared" si="4"/>
        <v>0</v>
      </c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25">
        <f t="shared" si="5"/>
        <v>1</v>
      </c>
      <c r="BF20" s="75">
        <f t="shared" si="6"/>
        <v>11000000</v>
      </c>
      <c r="BG20" s="75">
        <f t="shared" si="7"/>
        <v>0</v>
      </c>
      <c r="BH20" s="75">
        <f t="shared" si="40"/>
        <v>0</v>
      </c>
      <c r="BI20" s="75"/>
      <c r="BJ20" s="75">
        <f t="shared" si="9"/>
        <v>0</v>
      </c>
      <c r="BK20" s="75"/>
      <c r="BL20" s="75">
        <f t="shared" si="10"/>
        <v>0</v>
      </c>
      <c r="BM20" s="75">
        <f t="shared" si="11"/>
        <v>0</v>
      </c>
      <c r="BN20" s="75"/>
      <c r="BO20" s="75"/>
      <c r="BP20" s="75"/>
      <c r="BQ20" s="75"/>
      <c r="BR20" s="75">
        <f t="shared" si="34"/>
        <v>0</v>
      </c>
      <c r="BS20" s="75">
        <f t="shared" si="35"/>
        <v>0</v>
      </c>
      <c r="BT20" s="75">
        <f t="shared" si="36"/>
        <v>0</v>
      </c>
      <c r="BU20" s="75">
        <f t="shared" si="37"/>
        <v>11000000</v>
      </c>
      <c r="BV20" s="75">
        <f t="shared" si="38"/>
        <v>0</v>
      </c>
      <c r="BW20" s="75">
        <f t="shared" si="39"/>
        <v>0</v>
      </c>
      <c r="BX20" s="75"/>
      <c r="BY20" s="75"/>
      <c r="BZ20" s="75">
        <f t="shared" si="13"/>
        <v>0</v>
      </c>
      <c r="CA20" s="25">
        <f t="shared" si="14"/>
        <v>0</v>
      </c>
      <c r="CB20" s="75">
        <f t="shared" si="15"/>
        <v>0</v>
      </c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  <c r="CR20" s="75"/>
      <c r="CS20" s="75"/>
      <c r="CT20" s="75"/>
      <c r="CU20" s="75"/>
      <c r="CV20" s="75"/>
      <c r="CW20" s="25">
        <f t="shared" si="16"/>
        <v>1</v>
      </c>
      <c r="CX20" s="75">
        <f t="shared" si="17"/>
        <v>11000000</v>
      </c>
      <c r="CY20" s="75">
        <f t="shared" si="18"/>
        <v>0</v>
      </c>
      <c r="CZ20" s="75">
        <f t="shared" si="19"/>
        <v>0</v>
      </c>
      <c r="DA20" s="75"/>
      <c r="DB20" s="75">
        <f t="shared" si="20"/>
        <v>0</v>
      </c>
      <c r="DC20" s="75">
        <f t="shared" si="21"/>
        <v>0</v>
      </c>
      <c r="DD20" s="75">
        <f t="shared" si="22"/>
        <v>0</v>
      </c>
      <c r="DE20" s="75">
        <f t="shared" si="23"/>
        <v>0</v>
      </c>
      <c r="DF20" s="75"/>
      <c r="DG20" s="75">
        <f t="shared" si="24"/>
        <v>0</v>
      </c>
      <c r="DH20" s="75">
        <f t="shared" si="25"/>
        <v>0</v>
      </c>
      <c r="DI20" s="75"/>
      <c r="DJ20" s="75">
        <f t="shared" si="26"/>
        <v>0</v>
      </c>
      <c r="DK20" s="75">
        <f t="shared" si="27"/>
        <v>0</v>
      </c>
      <c r="DL20" s="75">
        <f t="shared" si="28"/>
        <v>0</v>
      </c>
      <c r="DM20" s="75">
        <f t="shared" si="29"/>
        <v>11000000</v>
      </c>
      <c r="DN20" s="75">
        <f t="shared" si="30"/>
        <v>0</v>
      </c>
      <c r="DO20" s="75">
        <f t="shared" si="31"/>
        <v>0</v>
      </c>
      <c r="DP20" s="75">
        <f t="shared" si="32"/>
        <v>0</v>
      </c>
      <c r="DQ20" s="75"/>
      <c r="DR20" s="75">
        <f t="shared" si="33"/>
        <v>0</v>
      </c>
    </row>
    <row r="21" spans="1:122" ht="35.25" hidden="1" customHeight="1" x14ac:dyDescent="0.25">
      <c r="A21" s="226"/>
      <c r="B21" s="134"/>
      <c r="C21" s="82" t="s">
        <v>470</v>
      </c>
      <c r="D21" s="81" t="s">
        <v>469</v>
      </c>
      <c r="E21" s="97">
        <v>310</v>
      </c>
      <c r="F21" s="78" t="s">
        <v>428</v>
      </c>
      <c r="G21" s="229"/>
      <c r="H21" s="79">
        <f t="shared" si="0"/>
        <v>0</v>
      </c>
      <c r="I21" s="79">
        <f t="shared" si="1"/>
        <v>50000000</v>
      </c>
      <c r="J21" s="229"/>
      <c r="K21" s="229"/>
      <c r="L21" s="229"/>
      <c r="M21" s="75">
        <f t="shared" si="2"/>
        <v>50000000</v>
      </c>
      <c r="N21" s="24"/>
      <c r="O21" s="45">
        <f>36000000-36000000</f>
        <v>0</v>
      </c>
      <c r="P21" s="45"/>
      <c r="Q21" s="45"/>
      <c r="R21" s="45"/>
      <c r="S21" s="45"/>
      <c r="T21" s="75">
        <f>34000000+36000000-20000000</f>
        <v>50000000</v>
      </c>
      <c r="U21" s="45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45"/>
      <c r="AH21" s="139"/>
      <c r="AI21" s="25">
        <f t="shared" si="3"/>
        <v>0</v>
      </c>
      <c r="AJ21" s="75">
        <f t="shared" si="4"/>
        <v>0</v>
      </c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25"/>
      <c r="BF21" s="75">
        <f t="shared" si="6"/>
        <v>50000000</v>
      </c>
      <c r="BG21" s="75">
        <f t="shared" si="7"/>
        <v>0</v>
      </c>
      <c r="BH21" s="75">
        <f t="shared" si="40"/>
        <v>0</v>
      </c>
      <c r="BI21" s="75"/>
      <c r="BJ21" s="75">
        <f t="shared" si="9"/>
        <v>0</v>
      </c>
      <c r="BK21" s="75"/>
      <c r="BL21" s="75">
        <f t="shared" si="10"/>
        <v>0</v>
      </c>
      <c r="BM21" s="75">
        <f t="shared" si="11"/>
        <v>50000000</v>
      </c>
      <c r="BN21" s="75"/>
      <c r="BO21" s="75"/>
      <c r="BP21" s="75"/>
      <c r="BQ21" s="75"/>
      <c r="BR21" s="75">
        <f t="shared" si="34"/>
        <v>0</v>
      </c>
      <c r="BS21" s="75">
        <f t="shared" si="35"/>
        <v>0</v>
      </c>
      <c r="BT21" s="75">
        <f t="shared" si="36"/>
        <v>0</v>
      </c>
      <c r="BU21" s="75">
        <f t="shared" si="37"/>
        <v>0</v>
      </c>
      <c r="BV21" s="75">
        <f t="shared" si="38"/>
        <v>0</v>
      </c>
      <c r="BW21" s="75">
        <f t="shared" si="39"/>
        <v>0</v>
      </c>
      <c r="BX21" s="75"/>
      <c r="BY21" s="75"/>
      <c r="BZ21" s="75">
        <f t="shared" si="13"/>
        <v>0</v>
      </c>
      <c r="CA21" s="25">
        <f t="shared" si="14"/>
        <v>0</v>
      </c>
      <c r="CB21" s="75">
        <f t="shared" si="15"/>
        <v>0</v>
      </c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25">
        <f t="shared" si="16"/>
        <v>1</v>
      </c>
      <c r="CX21" s="75">
        <f t="shared" si="17"/>
        <v>50000000</v>
      </c>
      <c r="CY21" s="75">
        <f t="shared" si="18"/>
        <v>0</v>
      </c>
      <c r="CZ21" s="75">
        <f t="shared" si="19"/>
        <v>0</v>
      </c>
      <c r="DA21" s="75"/>
      <c r="DB21" s="75">
        <f t="shared" si="20"/>
        <v>0</v>
      </c>
      <c r="DC21" s="75">
        <f t="shared" si="21"/>
        <v>0</v>
      </c>
      <c r="DD21" s="75">
        <f t="shared" si="22"/>
        <v>0</v>
      </c>
      <c r="DE21" s="75">
        <f t="shared" si="23"/>
        <v>50000000</v>
      </c>
      <c r="DF21" s="75"/>
      <c r="DG21" s="75">
        <f t="shared" si="24"/>
        <v>0</v>
      </c>
      <c r="DH21" s="75">
        <f t="shared" si="25"/>
        <v>0</v>
      </c>
      <c r="DI21" s="75"/>
      <c r="DJ21" s="75">
        <f t="shared" si="26"/>
        <v>0</v>
      </c>
      <c r="DK21" s="75">
        <f t="shared" si="27"/>
        <v>0</v>
      </c>
      <c r="DL21" s="75">
        <f t="shared" si="28"/>
        <v>0</v>
      </c>
      <c r="DM21" s="75">
        <f t="shared" si="29"/>
        <v>0</v>
      </c>
      <c r="DN21" s="75">
        <f t="shared" si="30"/>
        <v>0</v>
      </c>
      <c r="DO21" s="75">
        <f t="shared" si="31"/>
        <v>0</v>
      </c>
      <c r="DP21" s="75">
        <f t="shared" si="32"/>
        <v>0</v>
      </c>
      <c r="DQ21" s="75"/>
      <c r="DR21" s="75">
        <f t="shared" si="33"/>
        <v>0</v>
      </c>
    </row>
    <row r="22" spans="1:122" ht="67.5" hidden="1" customHeight="1" x14ac:dyDescent="0.25">
      <c r="A22" s="226"/>
      <c r="B22" s="134" t="s">
        <v>468</v>
      </c>
      <c r="C22" s="82" t="s">
        <v>467</v>
      </c>
      <c r="D22" s="81" t="s">
        <v>466</v>
      </c>
      <c r="E22" s="97">
        <v>510</v>
      </c>
      <c r="F22" s="78" t="s">
        <v>465</v>
      </c>
      <c r="G22" s="227">
        <v>259000000</v>
      </c>
      <c r="H22" s="79">
        <f t="shared" si="0"/>
        <v>38955845</v>
      </c>
      <c r="I22" s="79">
        <f t="shared" si="1"/>
        <v>65044155</v>
      </c>
      <c r="J22" s="227" t="s">
        <v>464</v>
      </c>
      <c r="K22" s="129" t="s">
        <v>463</v>
      </c>
      <c r="L22" s="129" t="s">
        <v>462</v>
      </c>
      <c r="M22" s="75">
        <f t="shared" si="2"/>
        <v>104000000</v>
      </c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>
        <v>50000000</v>
      </c>
      <c r="AD22" s="75"/>
      <c r="AE22" s="75"/>
      <c r="AF22" s="75"/>
      <c r="AG22" s="75">
        <f>9000000+5000000+15000000+5000000+5000000+15000000</f>
        <v>54000000</v>
      </c>
      <c r="AI22" s="25">
        <f t="shared" si="3"/>
        <v>0.99323179807692308</v>
      </c>
      <c r="AJ22" s="75">
        <f t="shared" si="4"/>
        <v>103296107</v>
      </c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>
        <f>+'[5]FEBRERO 2015'!$X$852</f>
        <v>50000000</v>
      </c>
      <c r="BA22" s="75"/>
      <c r="BB22" s="75"/>
      <c r="BC22" s="75"/>
      <c r="BD22" s="75">
        <f>+'[1]AGOSTO 2015'!$AD$2041</f>
        <v>53296107</v>
      </c>
      <c r="BE22" s="25"/>
      <c r="BF22" s="75">
        <f t="shared" si="6"/>
        <v>703893</v>
      </c>
      <c r="BG22" s="75">
        <f t="shared" si="7"/>
        <v>0</v>
      </c>
      <c r="BH22" s="75">
        <f t="shared" si="40"/>
        <v>0</v>
      </c>
      <c r="BI22" s="75"/>
      <c r="BJ22" s="75">
        <f t="shared" si="9"/>
        <v>0</v>
      </c>
      <c r="BK22" s="75"/>
      <c r="BL22" s="75">
        <f t="shared" si="10"/>
        <v>0</v>
      </c>
      <c r="BM22" s="75">
        <f t="shared" si="11"/>
        <v>0</v>
      </c>
      <c r="BN22" s="75"/>
      <c r="BO22" s="75"/>
      <c r="BP22" s="75"/>
      <c r="BQ22" s="75"/>
      <c r="BR22" s="75">
        <f t="shared" si="34"/>
        <v>0</v>
      </c>
      <c r="BS22" s="75">
        <f t="shared" si="35"/>
        <v>0</v>
      </c>
      <c r="BT22" s="75">
        <f t="shared" si="36"/>
        <v>0</v>
      </c>
      <c r="BU22" s="75">
        <f t="shared" si="37"/>
        <v>0</v>
      </c>
      <c r="BV22" s="75">
        <f t="shared" si="38"/>
        <v>0</v>
      </c>
      <c r="BW22" s="75">
        <f t="shared" si="39"/>
        <v>0</v>
      </c>
      <c r="BX22" s="75"/>
      <c r="BY22" s="75"/>
      <c r="BZ22" s="75">
        <f t="shared" si="13"/>
        <v>703893</v>
      </c>
      <c r="CA22" s="25">
        <f t="shared" si="14"/>
        <v>0.3745754326923077</v>
      </c>
      <c r="CB22" s="75">
        <f t="shared" si="15"/>
        <v>38955845</v>
      </c>
      <c r="CC22" s="75"/>
      <c r="CD22" s="75"/>
      <c r="CE22" s="75"/>
      <c r="CF22" s="75"/>
      <c r="CG22" s="75"/>
      <c r="CH22" s="75"/>
      <c r="CI22" s="75"/>
      <c r="CJ22" s="75"/>
      <c r="CK22" s="75"/>
      <c r="CL22" s="75"/>
      <c r="CM22" s="75"/>
      <c r="CN22" s="75"/>
      <c r="CO22" s="75"/>
      <c r="CP22" s="75"/>
      <c r="CQ22" s="75"/>
      <c r="CR22" s="75"/>
      <c r="CS22" s="75"/>
      <c r="CT22" s="75"/>
      <c r="CU22" s="75"/>
      <c r="CV22" s="75">
        <f>+'[1]AGOSTO 2015'!$H$2039</f>
        <v>38955845</v>
      </c>
      <c r="CW22" s="25">
        <f t="shared" si="16"/>
        <v>0.62542456730769236</v>
      </c>
      <c r="CX22" s="75">
        <f t="shared" si="17"/>
        <v>65044155</v>
      </c>
      <c r="CY22" s="75">
        <f t="shared" si="18"/>
        <v>0</v>
      </c>
      <c r="CZ22" s="75">
        <f t="shared" si="19"/>
        <v>0</v>
      </c>
      <c r="DA22" s="75"/>
      <c r="DB22" s="75">
        <f t="shared" si="20"/>
        <v>0</v>
      </c>
      <c r="DC22" s="75">
        <f t="shared" si="21"/>
        <v>0</v>
      </c>
      <c r="DD22" s="75">
        <f t="shared" si="22"/>
        <v>0</v>
      </c>
      <c r="DE22" s="75">
        <f t="shared" si="23"/>
        <v>0</v>
      </c>
      <c r="DF22" s="75"/>
      <c r="DG22" s="75">
        <f t="shared" si="24"/>
        <v>0</v>
      </c>
      <c r="DH22" s="75">
        <f t="shared" si="25"/>
        <v>0</v>
      </c>
      <c r="DI22" s="75"/>
      <c r="DJ22" s="75">
        <f t="shared" si="26"/>
        <v>0</v>
      </c>
      <c r="DK22" s="75">
        <f t="shared" si="27"/>
        <v>0</v>
      </c>
      <c r="DL22" s="75">
        <f t="shared" si="28"/>
        <v>0</v>
      </c>
      <c r="DM22" s="75">
        <f t="shared" si="29"/>
        <v>0</v>
      </c>
      <c r="DN22" s="75">
        <f t="shared" si="30"/>
        <v>50000000</v>
      </c>
      <c r="DO22" s="75">
        <f t="shared" si="31"/>
        <v>0</v>
      </c>
      <c r="DP22" s="75">
        <f t="shared" si="32"/>
        <v>0</v>
      </c>
      <c r="DQ22" s="75"/>
      <c r="DR22" s="75">
        <f t="shared" si="33"/>
        <v>15044155</v>
      </c>
    </row>
    <row r="23" spans="1:122" ht="47.25" hidden="1" customHeight="1" x14ac:dyDescent="0.25">
      <c r="A23" s="226"/>
      <c r="B23" s="134"/>
      <c r="C23" s="82" t="s">
        <v>461</v>
      </c>
      <c r="D23" s="81" t="s">
        <v>460</v>
      </c>
      <c r="E23" s="97">
        <v>510</v>
      </c>
      <c r="F23" s="78" t="s">
        <v>459</v>
      </c>
      <c r="G23" s="229"/>
      <c r="H23" s="79">
        <f t="shared" si="0"/>
        <v>168347392</v>
      </c>
      <c r="I23" s="79">
        <f t="shared" si="1"/>
        <v>3852608</v>
      </c>
      <c r="J23" s="229"/>
      <c r="K23" s="138" t="s">
        <v>458</v>
      </c>
      <c r="L23" s="138" t="s">
        <v>457</v>
      </c>
      <c r="M23" s="75">
        <f t="shared" si="2"/>
        <v>172200000</v>
      </c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>
        <v>170000000</v>
      </c>
      <c r="AD23" s="75"/>
      <c r="AE23" s="75"/>
      <c r="AF23" s="75"/>
      <c r="AG23" s="75">
        <v>2200000</v>
      </c>
      <c r="AI23" s="25">
        <f t="shared" si="3"/>
        <v>0.98722415795586527</v>
      </c>
      <c r="AJ23" s="75">
        <f t="shared" si="4"/>
        <v>170000000</v>
      </c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>
        <f>+'[5]FEBRERO 2015'!$X$864</f>
        <v>170000000</v>
      </c>
      <c r="BA23" s="75"/>
      <c r="BB23" s="75"/>
      <c r="BC23" s="75"/>
      <c r="BD23" s="75"/>
      <c r="BE23" s="25">
        <f>1-AI21</f>
        <v>1</v>
      </c>
      <c r="BF23" s="75">
        <f t="shared" si="6"/>
        <v>2200000</v>
      </c>
      <c r="BG23" s="75">
        <f t="shared" si="7"/>
        <v>0</v>
      </c>
      <c r="BH23" s="75">
        <f t="shared" si="40"/>
        <v>0</v>
      </c>
      <c r="BI23" s="75"/>
      <c r="BJ23" s="75">
        <f t="shared" si="9"/>
        <v>0</v>
      </c>
      <c r="BK23" s="75"/>
      <c r="BL23" s="75">
        <f t="shared" si="10"/>
        <v>0</v>
      </c>
      <c r="BM23" s="75">
        <f t="shared" si="11"/>
        <v>0</v>
      </c>
      <c r="BN23" s="75"/>
      <c r="BO23" s="75"/>
      <c r="BP23" s="75"/>
      <c r="BQ23" s="75"/>
      <c r="BR23" s="75">
        <f t="shared" si="34"/>
        <v>0</v>
      </c>
      <c r="BS23" s="75">
        <f t="shared" si="35"/>
        <v>0</v>
      </c>
      <c r="BT23" s="75">
        <f t="shared" si="36"/>
        <v>0</v>
      </c>
      <c r="BU23" s="75">
        <f t="shared" si="37"/>
        <v>0</v>
      </c>
      <c r="BV23" s="75">
        <f t="shared" si="38"/>
        <v>0</v>
      </c>
      <c r="BW23" s="75">
        <f t="shared" si="39"/>
        <v>0</v>
      </c>
      <c r="BX23" s="75"/>
      <c r="BY23" s="75"/>
      <c r="BZ23" s="75">
        <f t="shared" si="13"/>
        <v>2200000</v>
      </c>
      <c r="CA23" s="25">
        <f t="shared" si="14"/>
        <v>0.97762713124274103</v>
      </c>
      <c r="CB23" s="75">
        <f t="shared" si="15"/>
        <v>168347392</v>
      </c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>
        <f>+'[1]AGOSTO 2015'!$H$2072</f>
        <v>168347392</v>
      </c>
      <c r="CS23" s="75"/>
      <c r="CT23" s="75"/>
      <c r="CU23" s="75"/>
      <c r="CV23" s="75"/>
      <c r="CW23" s="25">
        <f t="shared" si="16"/>
        <v>2.2372868757258968E-2</v>
      </c>
      <c r="CX23" s="75">
        <f t="shared" si="17"/>
        <v>3852608</v>
      </c>
      <c r="CY23" s="75">
        <f t="shared" si="18"/>
        <v>0</v>
      </c>
      <c r="CZ23" s="75">
        <f t="shared" si="19"/>
        <v>0</v>
      </c>
      <c r="DA23" s="75"/>
      <c r="DB23" s="75">
        <f t="shared" si="20"/>
        <v>0</v>
      </c>
      <c r="DC23" s="75">
        <f t="shared" si="21"/>
        <v>0</v>
      </c>
      <c r="DD23" s="75">
        <f t="shared" si="22"/>
        <v>0</v>
      </c>
      <c r="DE23" s="75">
        <f t="shared" si="23"/>
        <v>0</v>
      </c>
      <c r="DF23" s="75"/>
      <c r="DG23" s="75">
        <f t="shared" si="24"/>
        <v>0</v>
      </c>
      <c r="DH23" s="75">
        <f t="shared" si="25"/>
        <v>0</v>
      </c>
      <c r="DI23" s="75"/>
      <c r="DJ23" s="75">
        <f t="shared" si="26"/>
        <v>0</v>
      </c>
      <c r="DK23" s="75">
        <f t="shared" si="27"/>
        <v>0</v>
      </c>
      <c r="DL23" s="75">
        <f t="shared" si="28"/>
        <v>0</v>
      </c>
      <c r="DM23" s="75">
        <f t="shared" si="29"/>
        <v>0</v>
      </c>
      <c r="DN23" s="75">
        <f t="shared" si="30"/>
        <v>1652608</v>
      </c>
      <c r="DO23" s="75">
        <f t="shared" si="31"/>
        <v>0</v>
      </c>
      <c r="DP23" s="75">
        <f t="shared" si="32"/>
        <v>0</v>
      </c>
      <c r="DQ23" s="75"/>
      <c r="DR23" s="75">
        <f t="shared" si="33"/>
        <v>2200000</v>
      </c>
    </row>
    <row r="24" spans="1:122" ht="53.25" hidden="1" customHeight="1" x14ac:dyDescent="0.25">
      <c r="A24" s="226"/>
      <c r="B24" s="137" t="s">
        <v>456</v>
      </c>
      <c r="C24" s="82" t="s">
        <v>455</v>
      </c>
      <c r="D24" s="81" t="s">
        <v>454</v>
      </c>
      <c r="E24" s="97">
        <v>510</v>
      </c>
      <c r="F24" s="78" t="s">
        <v>428</v>
      </c>
      <c r="G24" s="227">
        <v>180000000</v>
      </c>
      <c r="H24" s="79">
        <f t="shared" si="0"/>
        <v>74373761</v>
      </c>
      <c r="I24" s="79">
        <f t="shared" si="1"/>
        <v>25626239</v>
      </c>
      <c r="J24" s="227" t="s">
        <v>453</v>
      </c>
      <c r="K24" s="233">
        <v>1</v>
      </c>
      <c r="L24" s="227" t="s">
        <v>452</v>
      </c>
      <c r="M24" s="75">
        <f t="shared" si="2"/>
        <v>100000000</v>
      </c>
      <c r="N24" s="75"/>
      <c r="O24" s="75"/>
      <c r="P24" s="75"/>
      <c r="Q24" s="75"/>
      <c r="R24" s="75"/>
      <c r="S24" s="75">
        <v>100000000</v>
      </c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I24" s="25">
        <f t="shared" si="3"/>
        <v>0.79447782</v>
      </c>
      <c r="AJ24" s="75">
        <f t="shared" si="4"/>
        <v>79447782</v>
      </c>
      <c r="AK24" s="75"/>
      <c r="AL24" s="75"/>
      <c r="AM24" s="75"/>
      <c r="AN24" s="75"/>
      <c r="AO24" s="75"/>
      <c r="AP24" s="75">
        <f>+'[2]JULIO 2015'!$O$1878</f>
        <v>79447782</v>
      </c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25">
        <f t="shared" ref="BE24:BE55" si="41">1-AI24</f>
        <v>0.20552218</v>
      </c>
      <c r="BF24" s="75">
        <f t="shared" si="6"/>
        <v>20552218</v>
      </c>
      <c r="BG24" s="75">
        <f t="shared" si="7"/>
        <v>0</v>
      </c>
      <c r="BH24" s="75">
        <f t="shared" si="40"/>
        <v>0</v>
      </c>
      <c r="BI24" s="75"/>
      <c r="BJ24" s="75">
        <f t="shared" si="9"/>
        <v>0</v>
      </c>
      <c r="BK24" s="75"/>
      <c r="BL24" s="75">
        <f t="shared" si="10"/>
        <v>20552218</v>
      </c>
      <c r="BM24" s="75">
        <f t="shared" si="11"/>
        <v>0</v>
      </c>
      <c r="BN24" s="75"/>
      <c r="BO24" s="75">
        <f>+V24-AS24</f>
        <v>0</v>
      </c>
      <c r="BP24" s="75">
        <f>+W24-AT24</f>
        <v>0</v>
      </c>
      <c r="BQ24" s="75">
        <f>+X24-AU24</f>
        <v>0</v>
      </c>
      <c r="BR24" s="75">
        <f t="shared" si="34"/>
        <v>0</v>
      </c>
      <c r="BS24" s="75">
        <f t="shared" si="35"/>
        <v>0</v>
      </c>
      <c r="BT24" s="75">
        <f t="shared" si="36"/>
        <v>0</v>
      </c>
      <c r="BU24" s="75">
        <f t="shared" si="37"/>
        <v>0</v>
      </c>
      <c r="BV24" s="75">
        <f t="shared" si="38"/>
        <v>0</v>
      </c>
      <c r="BW24" s="75">
        <f t="shared" si="39"/>
        <v>0</v>
      </c>
      <c r="BX24" s="75">
        <f>+AE24-BB24</f>
        <v>0</v>
      </c>
      <c r="BY24" s="75">
        <f>+AF24-BC24</f>
        <v>0</v>
      </c>
      <c r="BZ24" s="75">
        <f t="shared" si="13"/>
        <v>0</v>
      </c>
      <c r="CA24" s="25">
        <f t="shared" si="14"/>
        <v>0.74373761000000005</v>
      </c>
      <c r="CB24" s="75">
        <f t="shared" si="15"/>
        <v>74373761</v>
      </c>
      <c r="CC24" s="75"/>
      <c r="CD24" s="75"/>
      <c r="CE24" s="75"/>
      <c r="CF24" s="75"/>
      <c r="CG24" s="75"/>
      <c r="CH24" s="75">
        <f>+'[1]AGOSTO 2015'!$H$2113+'[1]AGOSTO 2015'!$H$2115+'[1]AGOSTO 2015'!$H$2117+'[1]AGOSTO 2015'!$H$2119+'[1]AGOSTO 2015'!$H$2121</f>
        <v>74373761</v>
      </c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25">
        <f t="shared" si="16"/>
        <v>0.25626238999999995</v>
      </c>
      <c r="CX24" s="75">
        <f t="shared" si="17"/>
        <v>25626239</v>
      </c>
      <c r="CY24" s="75">
        <f t="shared" si="18"/>
        <v>0</v>
      </c>
      <c r="CZ24" s="75">
        <f t="shared" si="19"/>
        <v>0</v>
      </c>
      <c r="DA24" s="75"/>
      <c r="DB24" s="75">
        <f t="shared" si="20"/>
        <v>0</v>
      </c>
      <c r="DC24" s="75">
        <f t="shared" si="21"/>
        <v>0</v>
      </c>
      <c r="DD24" s="75">
        <f t="shared" si="22"/>
        <v>25626239</v>
      </c>
      <c r="DE24" s="75">
        <f t="shared" si="23"/>
        <v>0</v>
      </c>
      <c r="DF24" s="75"/>
      <c r="DG24" s="75">
        <f t="shared" si="24"/>
        <v>0</v>
      </c>
      <c r="DH24" s="75">
        <f t="shared" si="25"/>
        <v>0</v>
      </c>
      <c r="DI24" s="75"/>
      <c r="DJ24" s="75">
        <f t="shared" si="26"/>
        <v>0</v>
      </c>
      <c r="DK24" s="75">
        <f t="shared" si="27"/>
        <v>0</v>
      </c>
      <c r="DL24" s="75">
        <f t="shared" si="28"/>
        <v>0</v>
      </c>
      <c r="DM24" s="75">
        <f t="shared" si="29"/>
        <v>0</v>
      </c>
      <c r="DN24" s="75">
        <f t="shared" si="30"/>
        <v>0</v>
      </c>
      <c r="DO24" s="75">
        <f t="shared" si="31"/>
        <v>0</v>
      </c>
      <c r="DP24" s="75">
        <f t="shared" si="32"/>
        <v>0</v>
      </c>
      <c r="DQ24" s="75"/>
      <c r="DR24" s="75">
        <f t="shared" si="33"/>
        <v>0</v>
      </c>
    </row>
    <row r="25" spans="1:122" ht="45" hidden="1" customHeight="1" x14ac:dyDescent="0.25">
      <c r="A25" s="226"/>
      <c r="B25" s="136"/>
      <c r="C25" s="82" t="s">
        <v>451</v>
      </c>
      <c r="D25" s="81" t="s">
        <v>450</v>
      </c>
      <c r="E25" s="97">
        <v>510</v>
      </c>
      <c r="F25" s="78" t="s">
        <v>428</v>
      </c>
      <c r="G25" s="228"/>
      <c r="H25" s="79">
        <f t="shared" si="0"/>
        <v>9897024</v>
      </c>
      <c r="I25" s="79">
        <f t="shared" si="1"/>
        <v>20102976</v>
      </c>
      <c r="J25" s="228"/>
      <c r="K25" s="234"/>
      <c r="L25" s="228"/>
      <c r="M25" s="75">
        <f t="shared" si="2"/>
        <v>30000000</v>
      </c>
      <c r="N25" s="75"/>
      <c r="O25" s="75"/>
      <c r="P25" s="75"/>
      <c r="Q25" s="75"/>
      <c r="R25" s="75"/>
      <c r="S25" s="75">
        <v>20000000</v>
      </c>
      <c r="T25" s="75"/>
      <c r="U25" s="75"/>
      <c r="V25" s="75"/>
      <c r="W25" s="75"/>
      <c r="X25" s="75"/>
      <c r="Y25" s="75"/>
      <c r="Z25" s="75"/>
      <c r="AA25" s="75"/>
      <c r="AB25" s="75">
        <v>10000000</v>
      </c>
      <c r="AC25" s="75"/>
      <c r="AD25" s="75"/>
      <c r="AE25" s="75"/>
      <c r="AF25" s="75"/>
      <c r="AG25" s="75"/>
      <c r="AI25" s="25">
        <f t="shared" si="3"/>
        <v>0.32990079999999999</v>
      </c>
      <c r="AJ25" s="75">
        <f t="shared" si="4"/>
        <v>9897024</v>
      </c>
      <c r="AK25" s="75"/>
      <c r="AL25" s="75"/>
      <c r="AM25" s="75"/>
      <c r="AN25" s="75"/>
      <c r="AO25" s="75"/>
      <c r="AP25" s="75">
        <f>+'[2]JULIO 2015'!$O$1891</f>
        <v>7828112</v>
      </c>
      <c r="AQ25" s="75"/>
      <c r="AR25" s="75"/>
      <c r="AS25" s="75"/>
      <c r="AT25" s="75"/>
      <c r="AU25" s="75"/>
      <c r="AV25" s="75"/>
      <c r="AW25" s="75"/>
      <c r="AX25" s="75"/>
      <c r="AY25" s="75">
        <f>+'[6]JUNIO 2015'!$X$1613</f>
        <v>2068912</v>
      </c>
      <c r="AZ25" s="75"/>
      <c r="BA25" s="75"/>
      <c r="BB25" s="75"/>
      <c r="BC25" s="75"/>
      <c r="BD25" s="75"/>
      <c r="BE25" s="25">
        <f t="shared" si="41"/>
        <v>0.67009920000000001</v>
      </c>
      <c r="BF25" s="75">
        <f t="shared" si="6"/>
        <v>20102976</v>
      </c>
      <c r="BG25" s="75">
        <f t="shared" si="7"/>
        <v>0</v>
      </c>
      <c r="BH25" s="75">
        <f t="shared" si="40"/>
        <v>0</v>
      </c>
      <c r="BI25" s="75"/>
      <c r="BJ25" s="75">
        <f t="shared" si="9"/>
        <v>0</v>
      </c>
      <c r="BK25" s="75"/>
      <c r="BL25" s="75">
        <f t="shared" si="10"/>
        <v>12171888</v>
      </c>
      <c r="BM25" s="75">
        <f t="shared" si="11"/>
        <v>0</v>
      </c>
      <c r="BN25" s="75"/>
      <c r="BO25" s="75"/>
      <c r="BP25" s="75"/>
      <c r="BQ25" s="75"/>
      <c r="BR25" s="75">
        <f t="shared" si="34"/>
        <v>0</v>
      </c>
      <c r="BS25" s="75">
        <f t="shared" si="35"/>
        <v>0</v>
      </c>
      <c r="BT25" s="75">
        <f t="shared" si="36"/>
        <v>0</v>
      </c>
      <c r="BU25" s="75">
        <f t="shared" si="37"/>
        <v>7931088</v>
      </c>
      <c r="BV25" s="75">
        <f t="shared" si="38"/>
        <v>0</v>
      </c>
      <c r="BW25" s="75">
        <f t="shared" si="39"/>
        <v>0</v>
      </c>
      <c r="BX25" s="75"/>
      <c r="BY25" s="75"/>
      <c r="BZ25" s="75">
        <f t="shared" si="13"/>
        <v>0</v>
      </c>
      <c r="CA25" s="25">
        <f t="shared" si="14"/>
        <v>0.32990079999999999</v>
      </c>
      <c r="CB25" s="75">
        <f t="shared" si="15"/>
        <v>9897024</v>
      </c>
      <c r="CC25" s="75"/>
      <c r="CD25" s="75"/>
      <c r="CE25" s="75"/>
      <c r="CF25" s="75"/>
      <c r="CG25" s="75"/>
      <c r="CH25" s="75">
        <f>+'[2]JULIO 2015'!$O$1891</f>
        <v>7828112</v>
      </c>
      <c r="CI25" s="75"/>
      <c r="CJ25" s="75"/>
      <c r="CK25" s="75"/>
      <c r="CL25" s="75"/>
      <c r="CM25" s="75"/>
      <c r="CN25" s="75"/>
      <c r="CO25" s="75"/>
      <c r="CP25" s="75"/>
      <c r="CQ25" s="75">
        <f>+'[6]JUNIO 2015'!$H$1614+'[6]JUNIO 2015'!$H$1615+'[6]JUNIO 2015'!$H$1616</f>
        <v>2068912</v>
      </c>
      <c r="CR25" s="75"/>
      <c r="CS25" s="75"/>
      <c r="CT25" s="75"/>
      <c r="CU25" s="75"/>
      <c r="CV25" s="75"/>
      <c r="CW25" s="25">
        <f t="shared" si="16"/>
        <v>0.67009920000000001</v>
      </c>
      <c r="CX25" s="75">
        <f t="shared" si="17"/>
        <v>20102976</v>
      </c>
      <c r="CY25" s="75">
        <f t="shared" si="18"/>
        <v>0</v>
      </c>
      <c r="CZ25" s="75">
        <f t="shared" si="19"/>
        <v>0</v>
      </c>
      <c r="DA25" s="75"/>
      <c r="DB25" s="75">
        <f t="shared" si="20"/>
        <v>0</v>
      </c>
      <c r="DC25" s="75">
        <f t="shared" si="21"/>
        <v>0</v>
      </c>
      <c r="DD25" s="75">
        <f t="shared" si="22"/>
        <v>12171888</v>
      </c>
      <c r="DE25" s="75">
        <f t="shared" si="23"/>
        <v>0</v>
      </c>
      <c r="DF25" s="75"/>
      <c r="DG25" s="75">
        <f t="shared" si="24"/>
        <v>0</v>
      </c>
      <c r="DH25" s="75">
        <f t="shared" si="25"/>
        <v>0</v>
      </c>
      <c r="DI25" s="75"/>
      <c r="DJ25" s="75">
        <f t="shared" si="26"/>
        <v>0</v>
      </c>
      <c r="DK25" s="75">
        <f t="shared" si="27"/>
        <v>0</v>
      </c>
      <c r="DL25" s="75">
        <f t="shared" si="28"/>
        <v>0</v>
      </c>
      <c r="DM25" s="75">
        <f t="shared" si="29"/>
        <v>7931088</v>
      </c>
      <c r="DN25" s="75">
        <f t="shared" si="30"/>
        <v>0</v>
      </c>
      <c r="DO25" s="75">
        <f t="shared" si="31"/>
        <v>0</v>
      </c>
      <c r="DP25" s="75">
        <f t="shared" si="32"/>
        <v>0</v>
      </c>
      <c r="DQ25" s="75"/>
      <c r="DR25" s="75">
        <f t="shared" si="33"/>
        <v>0</v>
      </c>
    </row>
    <row r="26" spans="1:122" ht="52.5" hidden="1" customHeight="1" x14ac:dyDescent="0.25">
      <c r="A26" s="226"/>
      <c r="B26" s="135"/>
      <c r="C26" s="82" t="s">
        <v>449</v>
      </c>
      <c r="D26" s="81" t="s">
        <v>448</v>
      </c>
      <c r="E26" s="97">
        <v>510</v>
      </c>
      <c r="F26" s="78" t="s">
        <v>428</v>
      </c>
      <c r="G26" s="229"/>
      <c r="H26" s="79">
        <f t="shared" si="0"/>
        <v>0</v>
      </c>
      <c r="I26" s="79">
        <f t="shared" si="1"/>
        <v>60000000</v>
      </c>
      <c r="J26" s="229"/>
      <c r="K26" s="235"/>
      <c r="L26" s="229"/>
      <c r="M26" s="75">
        <f t="shared" si="2"/>
        <v>60000000</v>
      </c>
      <c r="N26" s="75"/>
      <c r="O26" s="75"/>
      <c r="P26" s="75"/>
      <c r="Q26" s="75"/>
      <c r="R26" s="75"/>
      <c r="S26" s="75">
        <v>60000000</v>
      </c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I26" s="25">
        <f t="shared" si="3"/>
        <v>0</v>
      </c>
      <c r="AJ26" s="75">
        <f t="shared" si="4"/>
        <v>0</v>
      </c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25">
        <f t="shared" si="41"/>
        <v>1</v>
      </c>
      <c r="BF26" s="75">
        <f t="shared" si="6"/>
        <v>60000000</v>
      </c>
      <c r="BG26" s="75">
        <f t="shared" si="7"/>
        <v>0</v>
      </c>
      <c r="BH26" s="75">
        <f t="shared" si="40"/>
        <v>0</v>
      </c>
      <c r="BI26" s="75"/>
      <c r="BJ26" s="75">
        <f t="shared" si="9"/>
        <v>0</v>
      </c>
      <c r="BK26" s="75"/>
      <c r="BL26" s="75">
        <f t="shared" si="10"/>
        <v>60000000</v>
      </c>
      <c r="BM26" s="75">
        <f t="shared" si="11"/>
        <v>0</v>
      </c>
      <c r="BN26" s="75"/>
      <c r="BO26" s="75"/>
      <c r="BP26" s="75"/>
      <c r="BQ26" s="75"/>
      <c r="BR26" s="75">
        <f t="shared" si="34"/>
        <v>0</v>
      </c>
      <c r="BS26" s="75">
        <f t="shared" si="35"/>
        <v>0</v>
      </c>
      <c r="BT26" s="75">
        <f t="shared" si="36"/>
        <v>0</v>
      </c>
      <c r="BU26" s="75">
        <f t="shared" si="37"/>
        <v>0</v>
      </c>
      <c r="BV26" s="75">
        <f t="shared" si="38"/>
        <v>0</v>
      </c>
      <c r="BW26" s="75">
        <f t="shared" si="39"/>
        <v>0</v>
      </c>
      <c r="BX26" s="75"/>
      <c r="BY26" s="75"/>
      <c r="BZ26" s="75">
        <f t="shared" si="13"/>
        <v>0</v>
      </c>
      <c r="CA26" s="25">
        <f t="shared" si="14"/>
        <v>0</v>
      </c>
      <c r="CB26" s="75">
        <f t="shared" si="15"/>
        <v>0</v>
      </c>
      <c r="CC26" s="75"/>
      <c r="CD26" s="75"/>
      <c r="CE26" s="75"/>
      <c r="CF26" s="75"/>
      <c r="CG26" s="75"/>
      <c r="CH26" s="75"/>
      <c r="CI26" s="75"/>
      <c r="CJ26" s="75"/>
      <c r="CK26" s="75"/>
      <c r="CL26" s="75"/>
      <c r="CM26" s="75"/>
      <c r="CN26" s="75"/>
      <c r="CO26" s="75"/>
      <c r="CP26" s="75"/>
      <c r="CQ26" s="75"/>
      <c r="CR26" s="75"/>
      <c r="CS26" s="75"/>
      <c r="CT26" s="75"/>
      <c r="CU26" s="75"/>
      <c r="CV26" s="75"/>
      <c r="CW26" s="25">
        <f t="shared" si="16"/>
        <v>1</v>
      </c>
      <c r="CX26" s="75">
        <f t="shared" si="17"/>
        <v>60000000</v>
      </c>
      <c r="CY26" s="75">
        <f t="shared" si="18"/>
        <v>0</v>
      </c>
      <c r="CZ26" s="75">
        <f t="shared" si="19"/>
        <v>0</v>
      </c>
      <c r="DA26" s="75"/>
      <c r="DB26" s="75">
        <f t="shared" si="20"/>
        <v>0</v>
      </c>
      <c r="DC26" s="75">
        <f t="shared" si="21"/>
        <v>0</v>
      </c>
      <c r="DD26" s="75">
        <f t="shared" si="22"/>
        <v>60000000</v>
      </c>
      <c r="DE26" s="75">
        <f t="shared" si="23"/>
        <v>0</v>
      </c>
      <c r="DF26" s="75"/>
      <c r="DG26" s="75">
        <f t="shared" si="24"/>
        <v>0</v>
      </c>
      <c r="DH26" s="75">
        <f t="shared" si="25"/>
        <v>0</v>
      </c>
      <c r="DI26" s="75"/>
      <c r="DJ26" s="75">
        <f t="shared" si="26"/>
        <v>0</v>
      </c>
      <c r="DK26" s="75">
        <f t="shared" si="27"/>
        <v>0</v>
      </c>
      <c r="DL26" s="75">
        <f t="shared" si="28"/>
        <v>0</v>
      </c>
      <c r="DM26" s="75">
        <f t="shared" si="29"/>
        <v>0</v>
      </c>
      <c r="DN26" s="75">
        <f t="shared" si="30"/>
        <v>0</v>
      </c>
      <c r="DO26" s="75">
        <f t="shared" si="31"/>
        <v>0</v>
      </c>
      <c r="DP26" s="75">
        <f t="shared" si="32"/>
        <v>0</v>
      </c>
      <c r="DQ26" s="75"/>
      <c r="DR26" s="75">
        <f t="shared" si="33"/>
        <v>0</v>
      </c>
    </row>
    <row r="27" spans="1:122" ht="51" hidden="1" customHeight="1" x14ac:dyDescent="0.25">
      <c r="A27" s="226"/>
      <c r="B27" s="134" t="s">
        <v>447</v>
      </c>
      <c r="C27" s="82" t="s">
        <v>446</v>
      </c>
      <c r="D27" s="81" t="s">
        <v>445</v>
      </c>
      <c r="E27" s="97">
        <v>510</v>
      </c>
      <c r="F27" s="78" t="s">
        <v>428</v>
      </c>
      <c r="G27" s="227">
        <v>80000000</v>
      </c>
      <c r="H27" s="79">
        <f t="shared" si="0"/>
        <v>0</v>
      </c>
      <c r="I27" s="79">
        <f t="shared" si="1"/>
        <v>40000000</v>
      </c>
      <c r="J27" s="227" t="s">
        <v>444</v>
      </c>
      <c r="K27" s="227" t="s">
        <v>443</v>
      </c>
      <c r="L27" s="227" t="s">
        <v>442</v>
      </c>
      <c r="M27" s="75">
        <f t="shared" si="2"/>
        <v>40000000</v>
      </c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>
        <v>40000000</v>
      </c>
      <c r="AB27" s="75"/>
      <c r="AC27" s="75"/>
      <c r="AD27" s="75"/>
      <c r="AE27" s="75"/>
      <c r="AF27" s="75"/>
      <c r="AG27" s="75"/>
      <c r="AI27" s="25">
        <f t="shared" si="3"/>
        <v>0</v>
      </c>
      <c r="AJ27" s="75">
        <f t="shared" si="4"/>
        <v>0</v>
      </c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25">
        <f t="shared" si="41"/>
        <v>1</v>
      </c>
      <c r="BF27" s="75">
        <f t="shared" si="6"/>
        <v>40000000</v>
      </c>
      <c r="BG27" s="75">
        <f t="shared" si="7"/>
        <v>0</v>
      </c>
      <c r="BH27" s="75">
        <f t="shared" si="40"/>
        <v>0</v>
      </c>
      <c r="BI27" s="75"/>
      <c r="BJ27" s="75">
        <f t="shared" si="9"/>
        <v>0</v>
      </c>
      <c r="BK27" s="75"/>
      <c r="BL27" s="75">
        <f t="shared" si="10"/>
        <v>0</v>
      </c>
      <c r="BM27" s="75">
        <f t="shared" si="11"/>
        <v>0</v>
      </c>
      <c r="BN27" s="75"/>
      <c r="BO27" s="75"/>
      <c r="BP27" s="75"/>
      <c r="BQ27" s="75"/>
      <c r="BR27" s="75">
        <f t="shared" si="34"/>
        <v>0</v>
      </c>
      <c r="BS27" s="75">
        <f t="shared" si="35"/>
        <v>0</v>
      </c>
      <c r="BT27" s="75">
        <f t="shared" si="36"/>
        <v>40000000</v>
      </c>
      <c r="BU27" s="75">
        <f t="shared" si="37"/>
        <v>0</v>
      </c>
      <c r="BV27" s="75">
        <f t="shared" si="38"/>
        <v>0</v>
      </c>
      <c r="BW27" s="75">
        <f t="shared" si="39"/>
        <v>0</v>
      </c>
      <c r="BX27" s="75"/>
      <c r="BY27" s="75"/>
      <c r="BZ27" s="75">
        <f t="shared" si="13"/>
        <v>0</v>
      </c>
      <c r="CA27" s="25">
        <f t="shared" si="14"/>
        <v>0</v>
      </c>
      <c r="CB27" s="75">
        <f t="shared" si="15"/>
        <v>0</v>
      </c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  <c r="CR27" s="75"/>
      <c r="CS27" s="75"/>
      <c r="CT27" s="75"/>
      <c r="CU27" s="75"/>
      <c r="CV27" s="75"/>
      <c r="CW27" s="25">
        <f t="shared" si="16"/>
        <v>1</v>
      </c>
      <c r="CX27" s="75">
        <f t="shared" si="17"/>
        <v>40000000</v>
      </c>
      <c r="CY27" s="75">
        <f t="shared" si="18"/>
        <v>0</v>
      </c>
      <c r="CZ27" s="75">
        <f t="shared" si="19"/>
        <v>0</v>
      </c>
      <c r="DA27" s="75"/>
      <c r="DB27" s="75">
        <f t="shared" si="20"/>
        <v>0</v>
      </c>
      <c r="DC27" s="75">
        <f t="shared" si="21"/>
        <v>0</v>
      </c>
      <c r="DD27" s="75">
        <f t="shared" si="22"/>
        <v>0</v>
      </c>
      <c r="DE27" s="75">
        <f t="shared" si="23"/>
        <v>0</v>
      </c>
      <c r="DF27" s="75"/>
      <c r="DG27" s="75">
        <f t="shared" si="24"/>
        <v>0</v>
      </c>
      <c r="DH27" s="75">
        <f t="shared" si="25"/>
        <v>0</v>
      </c>
      <c r="DI27" s="75"/>
      <c r="DJ27" s="75">
        <f t="shared" si="26"/>
        <v>0</v>
      </c>
      <c r="DK27" s="75">
        <f t="shared" si="27"/>
        <v>0</v>
      </c>
      <c r="DL27" s="75">
        <f t="shared" si="28"/>
        <v>40000000</v>
      </c>
      <c r="DM27" s="75">
        <f t="shared" si="29"/>
        <v>0</v>
      </c>
      <c r="DN27" s="75">
        <f t="shared" si="30"/>
        <v>0</v>
      </c>
      <c r="DO27" s="75">
        <f t="shared" si="31"/>
        <v>0</v>
      </c>
      <c r="DP27" s="75">
        <f t="shared" si="32"/>
        <v>0</v>
      </c>
      <c r="DQ27" s="75"/>
      <c r="DR27" s="75">
        <f t="shared" si="33"/>
        <v>0</v>
      </c>
    </row>
    <row r="28" spans="1:122" ht="41.25" hidden="1" customHeight="1" x14ac:dyDescent="0.25">
      <c r="A28" s="226"/>
      <c r="B28" s="134"/>
      <c r="C28" s="82" t="s">
        <v>441</v>
      </c>
      <c r="D28" s="81" t="s">
        <v>440</v>
      </c>
      <c r="E28" s="97">
        <v>510</v>
      </c>
      <c r="F28" s="78" t="s">
        <v>428</v>
      </c>
      <c r="G28" s="228"/>
      <c r="H28" s="79">
        <f t="shared" si="0"/>
        <v>0</v>
      </c>
      <c r="I28" s="79">
        <f t="shared" si="1"/>
        <v>5000000</v>
      </c>
      <c r="J28" s="228"/>
      <c r="K28" s="228"/>
      <c r="L28" s="228"/>
      <c r="M28" s="75">
        <f t="shared" si="2"/>
        <v>5000000</v>
      </c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>
        <v>5000000</v>
      </c>
      <c r="AB28" s="75"/>
      <c r="AC28" s="75"/>
      <c r="AD28" s="75"/>
      <c r="AE28" s="75"/>
      <c r="AF28" s="75"/>
      <c r="AG28" s="75"/>
      <c r="AI28" s="25">
        <f t="shared" si="3"/>
        <v>0</v>
      </c>
      <c r="AJ28" s="75">
        <f t="shared" si="4"/>
        <v>0</v>
      </c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25">
        <f t="shared" si="41"/>
        <v>1</v>
      </c>
      <c r="BF28" s="75">
        <f t="shared" si="6"/>
        <v>5000000</v>
      </c>
      <c r="BG28" s="75">
        <f t="shared" si="7"/>
        <v>0</v>
      </c>
      <c r="BH28" s="75">
        <f t="shared" si="40"/>
        <v>0</v>
      </c>
      <c r="BI28" s="75"/>
      <c r="BJ28" s="75">
        <f t="shared" si="9"/>
        <v>0</v>
      </c>
      <c r="BK28" s="75"/>
      <c r="BL28" s="75">
        <f t="shared" si="10"/>
        <v>0</v>
      </c>
      <c r="BM28" s="75">
        <f t="shared" si="11"/>
        <v>0</v>
      </c>
      <c r="BN28" s="75"/>
      <c r="BO28" s="75"/>
      <c r="BP28" s="75"/>
      <c r="BQ28" s="75"/>
      <c r="BR28" s="75">
        <f t="shared" si="34"/>
        <v>0</v>
      </c>
      <c r="BS28" s="75">
        <f t="shared" si="35"/>
        <v>0</v>
      </c>
      <c r="BT28" s="75">
        <f t="shared" si="36"/>
        <v>5000000</v>
      </c>
      <c r="BU28" s="75">
        <f t="shared" si="37"/>
        <v>0</v>
      </c>
      <c r="BV28" s="75">
        <f t="shared" si="38"/>
        <v>0</v>
      </c>
      <c r="BW28" s="75">
        <f t="shared" si="39"/>
        <v>0</v>
      </c>
      <c r="BX28" s="75"/>
      <c r="BY28" s="75"/>
      <c r="BZ28" s="75">
        <f t="shared" si="13"/>
        <v>0</v>
      </c>
      <c r="CA28" s="25">
        <f t="shared" si="14"/>
        <v>0</v>
      </c>
      <c r="CB28" s="75">
        <f t="shared" si="15"/>
        <v>0</v>
      </c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25">
        <f t="shared" si="16"/>
        <v>1</v>
      </c>
      <c r="CX28" s="75">
        <f t="shared" si="17"/>
        <v>5000000</v>
      </c>
      <c r="CY28" s="75">
        <f t="shared" si="18"/>
        <v>0</v>
      </c>
      <c r="CZ28" s="75">
        <f t="shared" si="19"/>
        <v>0</v>
      </c>
      <c r="DA28" s="75"/>
      <c r="DB28" s="75">
        <f t="shared" si="20"/>
        <v>0</v>
      </c>
      <c r="DC28" s="75">
        <f t="shared" si="21"/>
        <v>0</v>
      </c>
      <c r="DD28" s="75">
        <f t="shared" si="22"/>
        <v>0</v>
      </c>
      <c r="DE28" s="75">
        <f t="shared" si="23"/>
        <v>0</v>
      </c>
      <c r="DF28" s="75"/>
      <c r="DG28" s="75">
        <f t="shared" si="24"/>
        <v>0</v>
      </c>
      <c r="DH28" s="75">
        <f t="shared" si="25"/>
        <v>0</v>
      </c>
      <c r="DI28" s="75"/>
      <c r="DJ28" s="75">
        <f t="shared" si="26"/>
        <v>0</v>
      </c>
      <c r="DK28" s="75">
        <f t="shared" si="27"/>
        <v>0</v>
      </c>
      <c r="DL28" s="75">
        <f t="shared" si="28"/>
        <v>5000000</v>
      </c>
      <c r="DM28" s="75">
        <f t="shared" si="29"/>
        <v>0</v>
      </c>
      <c r="DN28" s="75">
        <f t="shared" si="30"/>
        <v>0</v>
      </c>
      <c r="DO28" s="75">
        <f t="shared" si="31"/>
        <v>0</v>
      </c>
      <c r="DP28" s="75">
        <f t="shared" si="32"/>
        <v>0</v>
      </c>
      <c r="DQ28" s="75"/>
      <c r="DR28" s="75">
        <f t="shared" si="33"/>
        <v>0</v>
      </c>
    </row>
    <row r="29" spans="1:122" ht="42" hidden="1" customHeight="1" x14ac:dyDescent="0.25">
      <c r="A29" s="226"/>
      <c r="B29" s="134"/>
      <c r="C29" s="82" t="s">
        <v>439</v>
      </c>
      <c r="D29" s="81" t="s">
        <v>438</v>
      </c>
      <c r="E29" s="97">
        <v>510</v>
      </c>
      <c r="F29" s="78" t="s">
        <v>428</v>
      </c>
      <c r="G29" s="229"/>
      <c r="H29" s="79">
        <f t="shared" si="0"/>
        <v>0</v>
      </c>
      <c r="I29" s="79">
        <f t="shared" si="1"/>
        <v>65000000</v>
      </c>
      <c r="J29" s="229"/>
      <c r="K29" s="229"/>
      <c r="L29" s="229"/>
      <c r="M29" s="75">
        <f t="shared" si="2"/>
        <v>65000000</v>
      </c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>
        <v>35000000</v>
      </c>
      <c r="AB29" s="75">
        <v>30000000</v>
      </c>
      <c r="AC29" s="75"/>
      <c r="AD29" s="75"/>
      <c r="AE29" s="75"/>
      <c r="AF29" s="75"/>
      <c r="AG29" s="75"/>
      <c r="AI29" s="25">
        <f t="shared" si="3"/>
        <v>0</v>
      </c>
      <c r="AJ29" s="75">
        <f t="shared" si="4"/>
        <v>0</v>
      </c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25">
        <f t="shared" si="41"/>
        <v>1</v>
      </c>
      <c r="BF29" s="75">
        <f t="shared" si="6"/>
        <v>65000000</v>
      </c>
      <c r="BG29" s="75">
        <f t="shared" si="7"/>
        <v>0</v>
      </c>
      <c r="BH29" s="75">
        <f t="shared" si="40"/>
        <v>0</v>
      </c>
      <c r="BI29" s="75"/>
      <c r="BJ29" s="75">
        <f t="shared" si="9"/>
        <v>0</v>
      </c>
      <c r="BK29" s="75"/>
      <c r="BL29" s="75">
        <f t="shared" si="10"/>
        <v>0</v>
      </c>
      <c r="BM29" s="75">
        <f t="shared" si="11"/>
        <v>0</v>
      </c>
      <c r="BN29" s="75"/>
      <c r="BO29" s="75"/>
      <c r="BP29" s="75"/>
      <c r="BQ29" s="75"/>
      <c r="BR29" s="75">
        <f t="shared" si="34"/>
        <v>0</v>
      </c>
      <c r="BS29" s="75">
        <f t="shared" si="35"/>
        <v>0</v>
      </c>
      <c r="BT29" s="75">
        <f t="shared" si="36"/>
        <v>35000000</v>
      </c>
      <c r="BU29" s="75">
        <f t="shared" si="37"/>
        <v>30000000</v>
      </c>
      <c r="BV29" s="75">
        <f t="shared" si="38"/>
        <v>0</v>
      </c>
      <c r="BW29" s="75">
        <f t="shared" si="39"/>
        <v>0</v>
      </c>
      <c r="BX29" s="75"/>
      <c r="BY29" s="75"/>
      <c r="BZ29" s="75">
        <f t="shared" si="13"/>
        <v>0</v>
      </c>
      <c r="CA29" s="25">
        <f t="shared" si="14"/>
        <v>0</v>
      </c>
      <c r="CB29" s="75">
        <f t="shared" si="15"/>
        <v>0</v>
      </c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25">
        <f t="shared" si="16"/>
        <v>1</v>
      </c>
      <c r="CX29" s="75">
        <f t="shared" si="17"/>
        <v>65000000</v>
      </c>
      <c r="CY29" s="75">
        <f t="shared" si="18"/>
        <v>0</v>
      </c>
      <c r="CZ29" s="75">
        <f t="shared" si="19"/>
        <v>0</v>
      </c>
      <c r="DA29" s="75"/>
      <c r="DB29" s="75">
        <f t="shared" si="20"/>
        <v>0</v>
      </c>
      <c r="DC29" s="75">
        <f t="shared" si="21"/>
        <v>0</v>
      </c>
      <c r="DD29" s="75">
        <f t="shared" si="22"/>
        <v>0</v>
      </c>
      <c r="DE29" s="75">
        <f t="shared" si="23"/>
        <v>0</v>
      </c>
      <c r="DF29" s="75"/>
      <c r="DG29" s="75">
        <f t="shared" si="24"/>
        <v>0</v>
      </c>
      <c r="DH29" s="75">
        <f t="shared" si="25"/>
        <v>0</v>
      </c>
      <c r="DI29" s="75"/>
      <c r="DJ29" s="75">
        <f t="shared" si="26"/>
        <v>0</v>
      </c>
      <c r="DK29" s="75">
        <f t="shared" si="27"/>
        <v>0</v>
      </c>
      <c r="DL29" s="75">
        <f t="shared" si="28"/>
        <v>35000000</v>
      </c>
      <c r="DM29" s="75">
        <f t="shared" si="29"/>
        <v>30000000</v>
      </c>
      <c r="DN29" s="75">
        <f t="shared" si="30"/>
        <v>0</v>
      </c>
      <c r="DO29" s="75">
        <f t="shared" si="31"/>
        <v>0</v>
      </c>
      <c r="DP29" s="75">
        <f t="shared" si="32"/>
        <v>0</v>
      </c>
      <c r="DQ29" s="75"/>
      <c r="DR29" s="75">
        <f t="shared" si="33"/>
        <v>0</v>
      </c>
    </row>
    <row r="30" spans="1:122" ht="27.75" hidden="1" customHeight="1" x14ac:dyDescent="0.25">
      <c r="A30" s="226"/>
      <c r="B30" s="236" t="s">
        <v>437</v>
      </c>
      <c r="C30" s="82" t="s">
        <v>436</v>
      </c>
      <c r="D30" s="81" t="s">
        <v>435</v>
      </c>
      <c r="E30" s="97">
        <v>510</v>
      </c>
      <c r="F30" s="78" t="s">
        <v>428</v>
      </c>
      <c r="G30" s="227">
        <v>111000000</v>
      </c>
      <c r="H30" s="79">
        <f t="shared" si="0"/>
        <v>876100</v>
      </c>
      <c r="I30" s="79">
        <f t="shared" si="1"/>
        <v>1123900</v>
      </c>
      <c r="J30" s="227" t="s">
        <v>398</v>
      </c>
      <c r="K30" s="227" t="s">
        <v>434</v>
      </c>
      <c r="L30" s="227" t="s">
        <v>433</v>
      </c>
      <c r="M30" s="75">
        <f t="shared" si="2"/>
        <v>2000000</v>
      </c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>
        <v>2000000</v>
      </c>
      <c r="AB30" s="75"/>
      <c r="AC30" s="75"/>
      <c r="AD30" s="75"/>
      <c r="AE30" s="75"/>
      <c r="AF30" s="75"/>
      <c r="AG30" s="75"/>
      <c r="AI30" s="25">
        <f t="shared" si="3"/>
        <v>0.43804999999999999</v>
      </c>
      <c r="AJ30" s="75">
        <f t="shared" si="4"/>
        <v>876100</v>
      </c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>
        <f>+'[4]MARZO 2015'!$V$1091</f>
        <v>876100</v>
      </c>
      <c r="AY30" s="75"/>
      <c r="AZ30" s="75"/>
      <c r="BA30" s="75"/>
      <c r="BB30" s="75"/>
      <c r="BC30" s="75"/>
      <c r="BD30" s="75"/>
      <c r="BE30" s="25">
        <f t="shared" si="41"/>
        <v>0.56194999999999995</v>
      </c>
      <c r="BF30" s="75">
        <f t="shared" si="6"/>
        <v>1123900</v>
      </c>
      <c r="BG30" s="75">
        <f t="shared" si="7"/>
        <v>0</v>
      </c>
      <c r="BH30" s="75">
        <f t="shared" si="40"/>
        <v>0</v>
      </c>
      <c r="BI30" s="75"/>
      <c r="BJ30" s="75">
        <f t="shared" si="9"/>
        <v>0</v>
      </c>
      <c r="BK30" s="75"/>
      <c r="BL30" s="75">
        <f t="shared" si="10"/>
        <v>0</v>
      </c>
      <c r="BM30" s="75">
        <f t="shared" si="11"/>
        <v>0</v>
      </c>
      <c r="BN30" s="75"/>
      <c r="BO30" s="75"/>
      <c r="BP30" s="75"/>
      <c r="BQ30" s="75"/>
      <c r="BR30" s="75">
        <f t="shared" si="34"/>
        <v>0</v>
      </c>
      <c r="BS30" s="75">
        <f t="shared" si="35"/>
        <v>0</v>
      </c>
      <c r="BT30" s="75">
        <f t="shared" si="36"/>
        <v>1123900</v>
      </c>
      <c r="BU30" s="75">
        <f t="shared" si="37"/>
        <v>0</v>
      </c>
      <c r="BV30" s="75">
        <f t="shared" si="38"/>
        <v>0</v>
      </c>
      <c r="BW30" s="75">
        <f t="shared" si="39"/>
        <v>0</v>
      </c>
      <c r="BX30" s="75"/>
      <c r="BY30" s="75"/>
      <c r="BZ30" s="75">
        <f t="shared" si="13"/>
        <v>0</v>
      </c>
      <c r="CA30" s="25">
        <f t="shared" si="14"/>
        <v>0.43804999999999999</v>
      </c>
      <c r="CB30" s="75">
        <f t="shared" si="15"/>
        <v>876100</v>
      </c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>
        <f>+'[4]MARZO 2015'!$H$1089</f>
        <v>876100</v>
      </c>
      <c r="CQ30" s="75"/>
      <c r="CR30" s="75"/>
      <c r="CS30" s="75"/>
      <c r="CT30" s="75"/>
      <c r="CU30" s="75"/>
      <c r="CV30" s="75"/>
      <c r="CW30" s="25">
        <f t="shared" si="16"/>
        <v>0.56194999999999995</v>
      </c>
      <c r="CX30" s="75">
        <f t="shared" si="17"/>
        <v>1123900</v>
      </c>
      <c r="CY30" s="75">
        <f t="shared" si="18"/>
        <v>0</v>
      </c>
      <c r="CZ30" s="75">
        <f t="shared" si="19"/>
        <v>0</v>
      </c>
      <c r="DA30" s="75"/>
      <c r="DB30" s="75">
        <f t="shared" si="20"/>
        <v>0</v>
      </c>
      <c r="DC30" s="75">
        <f t="shared" si="21"/>
        <v>0</v>
      </c>
      <c r="DD30" s="75">
        <f t="shared" si="22"/>
        <v>0</v>
      </c>
      <c r="DE30" s="75">
        <f t="shared" si="23"/>
        <v>0</v>
      </c>
      <c r="DF30" s="75"/>
      <c r="DG30" s="75">
        <f t="shared" si="24"/>
        <v>0</v>
      </c>
      <c r="DH30" s="75">
        <f t="shared" si="25"/>
        <v>0</v>
      </c>
      <c r="DI30" s="75"/>
      <c r="DJ30" s="75">
        <f t="shared" si="26"/>
        <v>0</v>
      </c>
      <c r="DK30" s="75">
        <f t="shared" si="27"/>
        <v>0</v>
      </c>
      <c r="DL30" s="75">
        <f t="shared" si="28"/>
        <v>1123900</v>
      </c>
      <c r="DM30" s="75">
        <f t="shared" si="29"/>
        <v>0</v>
      </c>
      <c r="DN30" s="75">
        <f t="shared" si="30"/>
        <v>0</v>
      </c>
      <c r="DO30" s="75">
        <f t="shared" si="31"/>
        <v>0</v>
      </c>
      <c r="DP30" s="75">
        <f t="shared" si="32"/>
        <v>0</v>
      </c>
      <c r="DQ30" s="75"/>
      <c r="DR30" s="75">
        <f t="shared" si="33"/>
        <v>0</v>
      </c>
    </row>
    <row r="31" spans="1:122" ht="21" hidden="1" customHeight="1" x14ac:dyDescent="0.25">
      <c r="A31" s="226"/>
      <c r="B31" s="237"/>
      <c r="C31" s="82" t="s">
        <v>432</v>
      </c>
      <c r="D31" s="81" t="s">
        <v>431</v>
      </c>
      <c r="E31" s="97">
        <v>510</v>
      </c>
      <c r="F31" s="78" t="s">
        <v>428</v>
      </c>
      <c r="G31" s="228"/>
      <c r="H31" s="79">
        <f t="shared" si="0"/>
        <v>18163197</v>
      </c>
      <c r="I31" s="79">
        <f t="shared" si="1"/>
        <v>42836803</v>
      </c>
      <c r="J31" s="228"/>
      <c r="K31" s="228"/>
      <c r="L31" s="228"/>
      <c r="M31" s="75">
        <f t="shared" si="2"/>
        <v>61000000</v>
      </c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>
        <v>40000000</v>
      </c>
      <c r="AB31" s="75"/>
      <c r="AC31" s="75"/>
      <c r="AD31" s="75"/>
      <c r="AE31" s="75"/>
      <c r="AF31" s="75"/>
      <c r="AG31" s="75">
        <v>21000000</v>
      </c>
      <c r="AI31" s="25">
        <f t="shared" si="3"/>
        <v>0.57155514754098358</v>
      </c>
      <c r="AJ31" s="75">
        <f t="shared" si="4"/>
        <v>34864864</v>
      </c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>
        <f>+'[1]AGOSTO 2015'!$W$2170</f>
        <v>34864864</v>
      </c>
      <c r="AY31" s="75"/>
      <c r="AZ31" s="75"/>
      <c r="BA31" s="75"/>
      <c r="BB31" s="75"/>
      <c r="BC31" s="75"/>
      <c r="BD31" s="75"/>
      <c r="BE31" s="25">
        <f t="shared" si="41"/>
        <v>0.42844485245901642</v>
      </c>
      <c r="BF31" s="75">
        <f t="shared" si="6"/>
        <v>26135136</v>
      </c>
      <c r="BG31" s="75">
        <f t="shared" si="7"/>
        <v>0</v>
      </c>
      <c r="BH31" s="75">
        <f t="shared" si="40"/>
        <v>0</v>
      </c>
      <c r="BI31" s="75"/>
      <c r="BJ31" s="75">
        <f t="shared" si="9"/>
        <v>0</v>
      </c>
      <c r="BK31" s="75"/>
      <c r="BL31" s="75">
        <f t="shared" si="10"/>
        <v>0</v>
      </c>
      <c r="BM31" s="75">
        <f t="shared" si="11"/>
        <v>0</v>
      </c>
      <c r="BN31" s="75"/>
      <c r="BO31" s="75"/>
      <c r="BP31" s="75"/>
      <c r="BQ31" s="75"/>
      <c r="BR31" s="75">
        <f t="shared" si="34"/>
        <v>0</v>
      </c>
      <c r="BS31" s="75">
        <f t="shared" si="35"/>
        <v>0</v>
      </c>
      <c r="BT31" s="75">
        <f t="shared" si="36"/>
        <v>5135136</v>
      </c>
      <c r="BU31" s="75">
        <f t="shared" si="37"/>
        <v>0</v>
      </c>
      <c r="BV31" s="75">
        <f t="shared" si="38"/>
        <v>0</v>
      </c>
      <c r="BW31" s="75">
        <f t="shared" si="39"/>
        <v>0</v>
      </c>
      <c r="BX31" s="75"/>
      <c r="BY31" s="75"/>
      <c r="BZ31" s="75">
        <f t="shared" si="13"/>
        <v>21000000</v>
      </c>
      <c r="CA31" s="25">
        <f t="shared" si="14"/>
        <v>0.29775732786885245</v>
      </c>
      <c r="CB31" s="75">
        <f t="shared" si="15"/>
        <v>18163197</v>
      </c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>
        <f>+'[1]AGOSTO 2015'!$H$2168</f>
        <v>18163197</v>
      </c>
      <c r="CQ31" s="75"/>
      <c r="CR31" s="75"/>
      <c r="CS31" s="75"/>
      <c r="CT31" s="75"/>
      <c r="CU31" s="75"/>
      <c r="CV31" s="75"/>
      <c r="CW31" s="25">
        <f t="shared" si="16"/>
        <v>0.70224267213114755</v>
      </c>
      <c r="CX31" s="75">
        <f t="shared" si="17"/>
        <v>42836803</v>
      </c>
      <c r="CY31" s="75">
        <f t="shared" si="18"/>
        <v>0</v>
      </c>
      <c r="CZ31" s="75">
        <f t="shared" si="19"/>
        <v>0</v>
      </c>
      <c r="DA31" s="75"/>
      <c r="DB31" s="75">
        <f t="shared" si="20"/>
        <v>0</v>
      </c>
      <c r="DC31" s="75">
        <f t="shared" si="21"/>
        <v>0</v>
      </c>
      <c r="DD31" s="75">
        <f t="shared" si="22"/>
        <v>0</v>
      </c>
      <c r="DE31" s="75">
        <f t="shared" si="23"/>
        <v>0</v>
      </c>
      <c r="DF31" s="75"/>
      <c r="DG31" s="75">
        <f t="shared" si="24"/>
        <v>0</v>
      </c>
      <c r="DH31" s="75">
        <f t="shared" si="25"/>
        <v>0</v>
      </c>
      <c r="DI31" s="75"/>
      <c r="DJ31" s="75">
        <f t="shared" si="26"/>
        <v>0</v>
      </c>
      <c r="DK31" s="75">
        <f t="shared" si="27"/>
        <v>0</v>
      </c>
      <c r="DL31" s="75">
        <f t="shared" si="28"/>
        <v>21836803</v>
      </c>
      <c r="DM31" s="75">
        <f t="shared" si="29"/>
        <v>0</v>
      </c>
      <c r="DN31" s="75">
        <f t="shared" si="30"/>
        <v>0</v>
      </c>
      <c r="DO31" s="75">
        <f t="shared" si="31"/>
        <v>0</v>
      </c>
      <c r="DP31" s="75">
        <f t="shared" si="32"/>
        <v>0</v>
      </c>
      <c r="DQ31" s="75"/>
      <c r="DR31" s="75">
        <f t="shared" si="33"/>
        <v>21000000</v>
      </c>
    </row>
    <row r="32" spans="1:122" ht="29.25" hidden="1" customHeight="1" x14ac:dyDescent="0.25">
      <c r="A32" s="226"/>
      <c r="B32" s="237"/>
      <c r="C32" s="82" t="s">
        <v>430</v>
      </c>
      <c r="D32" s="81" t="s">
        <v>429</v>
      </c>
      <c r="E32" s="97">
        <v>510</v>
      </c>
      <c r="F32" s="78" t="s">
        <v>428</v>
      </c>
      <c r="G32" s="228"/>
      <c r="H32" s="79">
        <f t="shared" si="0"/>
        <v>10640000</v>
      </c>
      <c r="I32" s="79">
        <f t="shared" si="1"/>
        <v>39360000</v>
      </c>
      <c r="J32" s="228"/>
      <c r="K32" s="228"/>
      <c r="L32" s="228"/>
      <c r="M32" s="75">
        <f t="shared" si="2"/>
        <v>50000000</v>
      </c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>
        <v>40000000</v>
      </c>
      <c r="AB32" s="75">
        <v>10000000</v>
      </c>
      <c r="AC32" s="75"/>
      <c r="AD32" s="75"/>
      <c r="AE32" s="75"/>
      <c r="AF32" s="75"/>
      <c r="AG32" s="75"/>
      <c r="AI32" s="25">
        <f t="shared" si="3"/>
        <v>0.95281987999999995</v>
      </c>
      <c r="AJ32" s="75">
        <f t="shared" si="4"/>
        <v>47640994</v>
      </c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>
        <f>+'[6]JUNIO 2015'!$W$1673</f>
        <v>40000000</v>
      </c>
      <c r="AY32" s="75">
        <f>+'[6]JUNIO 2015'!$X$1673</f>
        <v>7640994</v>
      </c>
      <c r="AZ32" s="75"/>
      <c r="BA32" s="75"/>
      <c r="BB32" s="75"/>
      <c r="BC32" s="75"/>
      <c r="BD32" s="75"/>
      <c r="BE32" s="25">
        <f t="shared" si="41"/>
        <v>4.7180120000000048E-2</v>
      </c>
      <c r="BF32" s="75">
        <f t="shared" si="6"/>
        <v>2359006</v>
      </c>
      <c r="BG32" s="75">
        <f t="shared" si="7"/>
        <v>0</v>
      </c>
      <c r="BH32" s="75">
        <f t="shared" si="40"/>
        <v>0</v>
      </c>
      <c r="BI32" s="75"/>
      <c r="BJ32" s="75">
        <f t="shared" si="9"/>
        <v>0</v>
      </c>
      <c r="BK32" s="75"/>
      <c r="BL32" s="75">
        <f t="shared" si="10"/>
        <v>0</v>
      </c>
      <c r="BM32" s="75">
        <f t="shared" si="11"/>
        <v>0</v>
      </c>
      <c r="BN32" s="75"/>
      <c r="BO32" s="75"/>
      <c r="BP32" s="75"/>
      <c r="BQ32" s="75"/>
      <c r="BR32" s="75">
        <f t="shared" si="34"/>
        <v>0</v>
      </c>
      <c r="BS32" s="75">
        <f t="shared" si="35"/>
        <v>0</v>
      </c>
      <c r="BT32" s="75">
        <f t="shared" si="36"/>
        <v>0</v>
      </c>
      <c r="BU32" s="75">
        <f t="shared" si="37"/>
        <v>2359006</v>
      </c>
      <c r="BV32" s="75">
        <f t="shared" si="38"/>
        <v>0</v>
      </c>
      <c r="BW32" s="75">
        <f t="shared" si="39"/>
        <v>0</v>
      </c>
      <c r="BX32" s="75"/>
      <c r="BY32" s="75"/>
      <c r="BZ32" s="75">
        <f t="shared" si="13"/>
        <v>0</v>
      </c>
      <c r="CA32" s="25">
        <f t="shared" si="14"/>
        <v>0.21279999999999999</v>
      </c>
      <c r="CB32" s="75">
        <f t="shared" si="15"/>
        <v>10640000</v>
      </c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>
        <f>+'[2]JULIO 2015'!$W$1957</f>
        <v>3000000</v>
      </c>
      <c r="CQ32" s="75">
        <f>+'[2]JULIO 2015'!$H$1958-CP32</f>
        <v>7640000</v>
      </c>
      <c r="CR32" s="75"/>
      <c r="CS32" s="75"/>
      <c r="CT32" s="75"/>
      <c r="CU32" s="75"/>
      <c r="CV32" s="75"/>
      <c r="CW32" s="25">
        <f t="shared" si="16"/>
        <v>0.78720000000000001</v>
      </c>
      <c r="CX32" s="75">
        <f t="shared" si="17"/>
        <v>39360000</v>
      </c>
      <c r="CY32" s="75">
        <f t="shared" si="18"/>
        <v>0</v>
      </c>
      <c r="CZ32" s="75">
        <f t="shared" si="19"/>
        <v>0</v>
      </c>
      <c r="DA32" s="75"/>
      <c r="DB32" s="75">
        <f t="shared" si="20"/>
        <v>0</v>
      </c>
      <c r="DC32" s="75">
        <f t="shared" si="21"/>
        <v>0</v>
      </c>
      <c r="DD32" s="75">
        <f t="shared" si="22"/>
        <v>0</v>
      </c>
      <c r="DE32" s="75">
        <f t="shared" si="23"/>
        <v>0</v>
      </c>
      <c r="DF32" s="75"/>
      <c r="DG32" s="75">
        <f t="shared" si="24"/>
        <v>0</v>
      </c>
      <c r="DH32" s="75">
        <f t="shared" si="25"/>
        <v>0</v>
      </c>
      <c r="DI32" s="75"/>
      <c r="DJ32" s="75">
        <f t="shared" si="26"/>
        <v>0</v>
      </c>
      <c r="DK32" s="75">
        <f t="shared" si="27"/>
        <v>0</v>
      </c>
      <c r="DL32" s="75">
        <f t="shared" si="28"/>
        <v>37000000</v>
      </c>
      <c r="DM32" s="75">
        <f t="shared" si="29"/>
        <v>2360000</v>
      </c>
      <c r="DN32" s="75">
        <f t="shared" si="30"/>
        <v>0</v>
      </c>
      <c r="DO32" s="75">
        <f t="shared" si="31"/>
        <v>0</v>
      </c>
      <c r="DP32" s="75">
        <f t="shared" si="32"/>
        <v>0</v>
      </c>
      <c r="DQ32" s="75"/>
      <c r="DR32" s="75">
        <f t="shared" si="33"/>
        <v>0</v>
      </c>
    </row>
    <row r="33" spans="1:122" ht="31.5" hidden="1" customHeight="1" x14ac:dyDescent="0.25">
      <c r="A33" s="226"/>
      <c r="B33" s="238"/>
      <c r="C33" s="82" t="s">
        <v>427</v>
      </c>
      <c r="D33" s="81" t="s">
        <v>426</v>
      </c>
      <c r="E33" s="97">
        <v>510</v>
      </c>
      <c r="F33" s="78" t="s">
        <v>425</v>
      </c>
      <c r="G33" s="229"/>
      <c r="H33" s="79">
        <f t="shared" si="0"/>
        <v>949220</v>
      </c>
      <c r="I33" s="79">
        <f t="shared" si="1"/>
        <v>12050780</v>
      </c>
      <c r="J33" s="229"/>
      <c r="K33" s="229"/>
      <c r="L33" s="229"/>
      <c r="M33" s="75">
        <f t="shared" si="2"/>
        <v>13000000</v>
      </c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>
        <v>8000000</v>
      </c>
      <c r="AB33" s="75"/>
      <c r="AC33" s="75"/>
      <c r="AD33" s="75"/>
      <c r="AE33" s="75"/>
      <c r="AF33" s="75"/>
      <c r="AG33" s="75">
        <v>5000000</v>
      </c>
      <c r="AI33" s="25">
        <f t="shared" si="3"/>
        <v>0.45763230769230767</v>
      </c>
      <c r="AJ33" s="75">
        <f t="shared" si="4"/>
        <v>5949220</v>
      </c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>
        <f>+'[3]ABRIL 2015'!$V$1318</f>
        <v>949220</v>
      </c>
      <c r="AY33" s="75"/>
      <c r="AZ33" s="75"/>
      <c r="BA33" s="75"/>
      <c r="BB33" s="75"/>
      <c r="BC33" s="75"/>
      <c r="BD33" s="75">
        <f>+'[2]JULIO 2015'!$AD$1962</f>
        <v>5000000</v>
      </c>
      <c r="BE33" s="25">
        <f t="shared" si="41"/>
        <v>0.54236769230769233</v>
      </c>
      <c r="BF33" s="75">
        <f t="shared" si="6"/>
        <v>7050780</v>
      </c>
      <c r="BG33" s="75">
        <f t="shared" si="7"/>
        <v>0</v>
      </c>
      <c r="BH33" s="75">
        <f t="shared" si="40"/>
        <v>0</v>
      </c>
      <c r="BI33" s="75"/>
      <c r="BJ33" s="75">
        <f t="shared" si="9"/>
        <v>0</v>
      </c>
      <c r="BK33" s="75"/>
      <c r="BL33" s="75">
        <f t="shared" si="10"/>
        <v>0</v>
      </c>
      <c r="BM33" s="75">
        <f t="shared" si="11"/>
        <v>0</v>
      </c>
      <c r="BN33" s="75"/>
      <c r="BO33" s="75"/>
      <c r="BP33" s="75"/>
      <c r="BQ33" s="75"/>
      <c r="BR33" s="75">
        <f t="shared" si="34"/>
        <v>0</v>
      </c>
      <c r="BS33" s="75">
        <f t="shared" si="35"/>
        <v>0</v>
      </c>
      <c r="BT33" s="75">
        <f t="shared" si="36"/>
        <v>7050780</v>
      </c>
      <c r="BU33" s="75">
        <f t="shared" si="37"/>
        <v>0</v>
      </c>
      <c r="BV33" s="75">
        <f t="shared" si="38"/>
        <v>0</v>
      </c>
      <c r="BW33" s="75">
        <f t="shared" si="39"/>
        <v>0</v>
      </c>
      <c r="BX33" s="75"/>
      <c r="BY33" s="75"/>
      <c r="BZ33" s="75">
        <f t="shared" si="13"/>
        <v>0</v>
      </c>
      <c r="CA33" s="25">
        <f t="shared" si="14"/>
        <v>7.3016923076923076E-2</v>
      </c>
      <c r="CB33" s="75">
        <f t="shared" si="15"/>
        <v>949220</v>
      </c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>
        <f>+'[3]ABRIL 2015'!$H$1316</f>
        <v>949220</v>
      </c>
      <c r="CQ33" s="75"/>
      <c r="CR33" s="75"/>
      <c r="CS33" s="75"/>
      <c r="CT33" s="75"/>
      <c r="CU33" s="75"/>
      <c r="CV33" s="75"/>
      <c r="CW33" s="25">
        <f t="shared" si="16"/>
        <v>0.92698307692307691</v>
      </c>
      <c r="CX33" s="75">
        <f t="shared" si="17"/>
        <v>12050780</v>
      </c>
      <c r="CY33" s="75">
        <f t="shared" si="18"/>
        <v>0</v>
      </c>
      <c r="CZ33" s="75">
        <f t="shared" si="19"/>
        <v>0</v>
      </c>
      <c r="DA33" s="75"/>
      <c r="DB33" s="75">
        <f>Q33-CF33</f>
        <v>0</v>
      </c>
      <c r="DC33" s="75"/>
      <c r="DD33" s="75">
        <f>S33-CH33</f>
        <v>0</v>
      </c>
      <c r="DE33" s="75">
        <f>T33-CI33</f>
        <v>0</v>
      </c>
      <c r="DF33" s="75"/>
      <c r="DG33" s="75">
        <f t="shared" si="24"/>
        <v>0</v>
      </c>
      <c r="DH33" s="75">
        <f t="shared" si="25"/>
        <v>0</v>
      </c>
      <c r="DI33" s="75"/>
      <c r="DJ33" s="75">
        <f t="shared" si="26"/>
        <v>0</v>
      </c>
      <c r="DK33" s="75">
        <f t="shared" si="27"/>
        <v>0</v>
      </c>
      <c r="DL33" s="75">
        <f t="shared" si="28"/>
        <v>7050780</v>
      </c>
      <c r="DM33" s="75">
        <f t="shared" si="29"/>
        <v>0</v>
      </c>
      <c r="DN33" s="75">
        <f t="shared" si="30"/>
        <v>0</v>
      </c>
      <c r="DO33" s="75">
        <f t="shared" si="31"/>
        <v>0</v>
      </c>
      <c r="DP33" s="75">
        <f t="shared" si="32"/>
        <v>0</v>
      </c>
      <c r="DQ33" s="75"/>
      <c r="DR33" s="75">
        <f t="shared" si="33"/>
        <v>5000000</v>
      </c>
    </row>
    <row r="34" spans="1:122" s="68" customFormat="1" ht="28.5" customHeight="1" thickBot="1" x14ac:dyDescent="0.3">
      <c r="A34" s="133"/>
      <c r="B34" s="271" t="s">
        <v>566</v>
      </c>
      <c r="C34" s="272"/>
      <c r="D34" s="272"/>
      <c r="E34" s="273"/>
      <c r="F34" s="123"/>
      <c r="G34" s="131">
        <f>SUM(G4:G33)</f>
        <v>1741000000</v>
      </c>
      <c r="H34" s="131">
        <f>SUM(H4:H33)</f>
        <v>788223117</v>
      </c>
      <c r="I34" s="131">
        <f>SUM(I4:I33)</f>
        <v>1113885646</v>
      </c>
      <c r="J34" s="122"/>
      <c r="K34" s="122"/>
      <c r="L34" s="122"/>
      <c r="M34" s="131">
        <f t="shared" ref="M34:AG34" si="42">SUM(M4:M33)</f>
        <v>1902108763</v>
      </c>
      <c r="N34" s="131">
        <f t="shared" si="42"/>
        <v>0</v>
      </c>
      <c r="O34" s="131">
        <f t="shared" si="42"/>
        <v>0</v>
      </c>
      <c r="P34" s="131">
        <f t="shared" si="42"/>
        <v>0</v>
      </c>
      <c r="Q34" s="131">
        <f t="shared" si="42"/>
        <v>0</v>
      </c>
      <c r="R34" s="131">
        <f t="shared" si="42"/>
        <v>0</v>
      </c>
      <c r="S34" s="131">
        <f t="shared" si="42"/>
        <v>680000000</v>
      </c>
      <c r="T34" s="131">
        <f t="shared" si="42"/>
        <v>321985144</v>
      </c>
      <c r="U34" s="131">
        <f t="shared" si="42"/>
        <v>0</v>
      </c>
      <c r="V34" s="131">
        <f t="shared" si="42"/>
        <v>0</v>
      </c>
      <c r="W34" s="131">
        <f t="shared" si="42"/>
        <v>0</v>
      </c>
      <c r="X34" s="131">
        <f t="shared" si="42"/>
        <v>0</v>
      </c>
      <c r="Y34" s="131">
        <f t="shared" si="42"/>
        <v>0</v>
      </c>
      <c r="Z34" s="131">
        <f t="shared" si="42"/>
        <v>0</v>
      </c>
      <c r="AA34" s="131">
        <f t="shared" si="42"/>
        <v>270000000</v>
      </c>
      <c r="AB34" s="131">
        <f t="shared" si="42"/>
        <v>211000000</v>
      </c>
      <c r="AC34" s="131">
        <f t="shared" si="42"/>
        <v>220000000</v>
      </c>
      <c r="AD34" s="131">
        <f t="shared" si="42"/>
        <v>0</v>
      </c>
      <c r="AE34" s="131">
        <f t="shared" si="42"/>
        <v>0</v>
      </c>
      <c r="AF34" s="131">
        <f t="shared" si="42"/>
        <v>0</v>
      </c>
      <c r="AG34" s="131">
        <f t="shared" si="42"/>
        <v>199123619</v>
      </c>
      <c r="AH34" s="132"/>
      <c r="AI34" s="121">
        <f t="shared" si="3"/>
        <v>0.5189686484820637</v>
      </c>
      <c r="AJ34" s="131">
        <f>SUM(AJ4:AJ33)</f>
        <v>987134814</v>
      </c>
      <c r="AK34" s="131">
        <f>SUM(AK4:AK33)</f>
        <v>0</v>
      </c>
      <c r="AL34" s="131">
        <f>SUM(AL4:AL33)</f>
        <v>0</v>
      </c>
      <c r="AM34" s="131"/>
      <c r="AN34" s="131">
        <f t="shared" ref="AN34:BD34" si="43">SUM(AN4:AN33)</f>
        <v>0</v>
      </c>
      <c r="AO34" s="131">
        <f t="shared" si="43"/>
        <v>0</v>
      </c>
      <c r="AP34" s="131">
        <f t="shared" si="43"/>
        <v>289479122</v>
      </c>
      <c r="AQ34" s="131">
        <f t="shared" si="43"/>
        <v>179680675</v>
      </c>
      <c r="AR34" s="131">
        <f t="shared" si="43"/>
        <v>0</v>
      </c>
      <c r="AS34" s="131">
        <f t="shared" si="43"/>
        <v>0</v>
      </c>
      <c r="AT34" s="131">
        <f t="shared" si="43"/>
        <v>0</v>
      </c>
      <c r="AU34" s="131">
        <f t="shared" si="43"/>
        <v>0</v>
      </c>
      <c r="AV34" s="131">
        <f t="shared" si="43"/>
        <v>0</v>
      </c>
      <c r="AW34" s="131">
        <f t="shared" si="43"/>
        <v>0</v>
      </c>
      <c r="AX34" s="131">
        <f t="shared" si="43"/>
        <v>126214863</v>
      </c>
      <c r="AY34" s="131">
        <f t="shared" si="43"/>
        <v>9709906</v>
      </c>
      <c r="AZ34" s="131">
        <f t="shared" si="43"/>
        <v>220000000</v>
      </c>
      <c r="BA34" s="131">
        <f t="shared" si="43"/>
        <v>0</v>
      </c>
      <c r="BB34" s="131">
        <f t="shared" si="43"/>
        <v>0</v>
      </c>
      <c r="BC34" s="131">
        <f t="shared" si="43"/>
        <v>0</v>
      </c>
      <c r="BD34" s="131">
        <f t="shared" si="43"/>
        <v>162050248</v>
      </c>
      <c r="BE34" s="121">
        <f t="shared" si="41"/>
        <v>0.4810313515179363</v>
      </c>
      <c r="BF34" s="131">
        <f t="shared" ref="BF34:BZ34" si="44">SUM(BF4:BF33)</f>
        <v>914973949</v>
      </c>
      <c r="BG34" s="131">
        <f t="shared" si="44"/>
        <v>0</v>
      </c>
      <c r="BH34" s="131">
        <f t="shared" si="44"/>
        <v>0</v>
      </c>
      <c r="BI34" s="131">
        <f t="shared" si="44"/>
        <v>0</v>
      </c>
      <c r="BJ34" s="131">
        <f t="shared" si="44"/>
        <v>0</v>
      </c>
      <c r="BK34" s="131">
        <f t="shared" si="44"/>
        <v>0</v>
      </c>
      <c r="BL34" s="131">
        <f t="shared" si="44"/>
        <v>390520878</v>
      </c>
      <c r="BM34" s="131">
        <f t="shared" si="44"/>
        <v>142304469</v>
      </c>
      <c r="BN34" s="131">
        <f t="shared" si="44"/>
        <v>0</v>
      </c>
      <c r="BO34" s="131">
        <f t="shared" si="44"/>
        <v>0</v>
      </c>
      <c r="BP34" s="131">
        <f t="shared" si="44"/>
        <v>0</v>
      </c>
      <c r="BQ34" s="131">
        <f t="shared" si="44"/>
        <v>0</v>
      </c>
      <c r="BR34" s="131">
        <f t="shared" si="44"/>
        <v>0</v>
      </c>
      <c r="BS34" s="131">
        <f t="shared" si="44"/>
        <v>0</v>
      </c>
      <c r="BT34" s="131">
        <f t="shared" si="44"/>
        <v>143785137</v>
      </c>
      <c r="BU34" s="131">
        <f t="shared" si="44"/>
        <v>201290094</v>
      </c>
      <c r="BV34" s="131">
        <f t="shared" si="44"/>
        <v>0</v>
      </c>
      <c r="BW34" s="131">
        <f t="shared" si="44"/>
        <v>0</v>
      </c>
      <c r="BX34" s="131">
        <f t="shared" si="44"/>
        <v>0</v>
      </c>
      <c r="BY34" s="131">
        <f t="shared" si="44"/>
        <v>0</v>
      </c>
      <c r="BZ34" s="131">
        <f t="shared" si="44"/>
        <v>37073371</v>
      </c>
      <c r="CA34" s="121">
        <f t="shared" si="14"/>
        <v>0.41439434607136605</v>
      </c>
      <c r="CB34" s="131">
        <f>SUM(CB4:CB33)</f>
        <v>788223117</v>
      </c>
      <c r="CC34" s="131">
        <f>SUM(CC4:CC33)</f>
        <v>0</v>
      </c>
      <c r="CD34" s="131">
        <f>SUM(CD4:CD33)</f>
        <v>0</v>
      </c>
      <c r="CE34" s="131"/>
      <c r="CF34" s="131">
        <f t="shared" ref="CF34:CV34" si="45">SUM(CF4:CF33)</f>
        <v>0</v>
      </c>
      <c r="CG34" s="131">
        <f t="shared" si="45"/>
        <v>0</v>
      </c>
      <c r="CH34" s="131">
        <f t="shared" si="45"/>
        <v>280857251</v>
      </c>
      <c r="CI34" s="131">
        <f t="shared" si="45"/>
        <v>171931109</v>
      </c>
      <c r="CJ34" s="131">
        <f t="shared" si="45"/>
        <v>0</v>
      </c>
      <c r="CK34" s="131">
        <f t="shared" si="45"/>
        <v>0</v>
      </c>
      <c r="CL34" s="131">
        <f t="shared" si="45"/>
        <v>0</v>
      </c>
      <c r="CM34" s="131">
        <f t="shared" si="45"/>
        <v>0</v>
      </c>
      <c r="CN34" s="131">
        <f t="shared" si="45"/>
        <v>0</v>
      </c>
      <c r="CO34" s="131">
        <f t="shared" si="45"/>
        <v>0</v>
      </c>
      <c r="CP34" s="131">
        <f t="shared" si="45"/>
        <v>72513196</v>
      </c>
      <c r="CQ34" s="131">
        <f t="shared" si="45"/>
        <v>9708912</v>
      </c>
      <c r="CR34" s="131">
        <f t="shared" si="45"/>
        <v>168347392</v>
      </c>
      <c r="CS34" s="131">
        <f t="shared" si="45"/>
        <v>0</v>
      </c>
      <c r="CT34" s="131">
        <f t="shared" si="45"/>
        <v>0</v>
      </c>
      <c r="CU34" s="131">
        <f t="shared" si="45"/>
        <v>0</v>
      </c>
      <c r="CV34" s="131">
        <f t="shared" si="45"/>
        <v>84865257</v>
      </c>
      <c r="CW34" s="121">
        <f t="shared" si="16"/>
        <v>0.58560565392863395</v>
      </c>
      <c r="CX34" s="131">
        <f>SUM(CX4:CX33)</f>
        <v>1113885646</v>
      </c>
      <c r="CY34" s="131">
        <f>SUM(CY4:CY33)</f>
        <v>0</v>
      </c>
      <c r="CZ34" s="131">
        <f>SUM(CZ4:CZ33)</f>
        <v>0</v>
      </c>
      <c r="DA34" s="131"/>
      <c r="DB34" s="131">
        <f t="shared" ref="DB34:DR34" si="46">SUM(DB4:DB33)</f>
        <v>0</v>
      </c>
      <c r="DC34" s="131">
        <f t="shared" si="46"/>
        <v>0</v>
      </c>
      <c r="DD34" s="131">
        <f t="shared" si="46"/>
        <v>399142749</v>
      </c>
      <c r="DE34" s="131">
        <f t="shared" si="46"/>
        <v>150054035</v>
      </c>
      <c r="DF34" s="131">
        <f t="shared" si="46"/>
        <v>0</v>
      </c>
      <c r="DG34" s="131">
        <f t="shared" si="46"/>
        <v>0</v>
      </c>
      <c r="DH34" s="131">
        <f t="shared" si="46"/>
        <v>0</v>
      </c>
      <c r="DI34" s="131">
        <f t="shared" si="46"/>
        <v>0</v>
      </c>
      <c r="DJ34" s="131">
        <f t="shared" si="46"/>
        <v>0</v>
      </c>
      <c r="DK34" s="131">
        <f t="shared" si="46"/>
        <v>0</v>
      </c>
      <c r="DL34" s="131">
        <f t="shared" si="46"/>
        <v>197486804</v>
      </c>
      <c r="DM34" s="131">
        <f t="shared" si="46"/>
        <v>201291088</v>
      </c>
      <c r="DN34" s="131">
        <f t="shared" si="46"/>
        <v>51652608</v>
      </c>
      <c r="DO34" s="131">
        <f t="shared" si="46"/>
        <v>0</v>
      </c>
      <c r="DP34" s="131">
        <f t="shared" si="46"/>
        <v>0</v>
      </c>
      <c r="DQ34" s="131">
        <f t="shared" si="46"/>
        <v>0</v>
      </c>
      <c r="DR34" s="130">
        <f t="shared" si="46"/>
        <v>114258362</v>
      </c>
    </row>
    <row r="35" spans="1:122" ht="59.25" hidden="1" customHeight="1" thickTop="1" x14ac:dyDescent="0.25">
      <c r="A35" s="225" t="s">
        <v>423</v>
      </c>
      <c r="B35" s="119" t="s">
        <v>422</v>
      </c>
      <c r="C35" s="82" t="s">
        <v>421</v>
      </c>
      <c r="D35" s="81" t="s">
        <v>420</v>
      </c>
      <c r="E35" s="97">
        <v>410</v>
      </c>
      <c r="F35" s="78" t="s">
        <v>214</v>
      </c>
      <c r="G35" s="240">
        <v>1000000000</v>
      </c>
      <c r="H35" s="79">
        <f t="shared" ref="H35:H66" si="47">+CB35</f>
        <v>611824441</v>
      </c>
      <c r="I35" s="79">
        <f t="shared" ref="I35:I66" si="48">M35-H35</f>
        <v>11996440</v>
      </c>
      <c r="J35" s="129" t="s">
        <v>419</v>
      </c>
      <c r="K35" s="129" t="s">
        <v>418</v>
      </c>
      <c r="L35" s="129" t="s">
        <v>417</v>
      </c>
      <c r="M35" s="75">
        <f t="shared" ref="M35:M66" si="49">SUM(N35:AG35)</f>
        <v>623820881</v>
      </c>
      <c r="N35" s="117"/>
      <c r="O35" s="115">
        <f>100000000+180000000-280000000</f>
        <v>0</v>
      </c>
      <c r="P35" s="115">
        <v>280000000</v>
      </c>
      <c r="Q35" s="75">
        <f>300000000+220000000-216179119</f>
        <v>303820881</v>
      </c>
      <c r="R35" s="117"/>
      <c r="S35" s="75">
        <f>20000000+20000000</f>
        <v>40000000</v>
      </c>
      <c r="T35" s="115">
        <f>400000000-180000000-220000000</f>
        <v>0</v>
      </c>
      <c r="U35" s="117"/>
      <c r="V35" s="117"/>
      <c r="W35" s="117"/>
      <c r="X35" s="117"/>
      <c r="Y35" s="59"/>
      <c r="Z35" s="117"/>
      <c r="AA35" s="117"/>
      <c r="AB35" s="117"/>
      <c r="AC35" s="117"/>
      <c r="AD35" s="117"/>
      <c r="AE35" s="117"/>
      <c r="AF35" s="117"/>
      <c r="AG35" s="117"/>
      <c r="AI35" s="25">
        <f t="shared" si="3"/>
        <v>1</v>
      </c>
      <c r="AJ35" s="75">
        <f t="shared" ref="AJ35:AJ66" si="50">SUM(AK35:BD35)</f>
        <v>623820881</v>
      </c>
      <c r="AK35" s="75"/>
      <c r="AL35" s="75"/>
      <c r="AM35" s="75">
        <v>280000000</v>
      </c>
      <c r="AN35" s="75">
        <f>+'[6]JUNIO 2015'!$M$866</f>
        <v>303820881</v>
      </c>
      <c r="AO35" s="75"/>
      <c r="AP35" s="75">
        <f>+'[6]JUNIO 2015'!$O$866</f>
        <v>40000000</v>
      </c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25">
        <f t="shared" si="41"/>
        <v>0</v>
      </c>
      <c r="BF35" s="75">
        <f t="shared" ref="BF35:BF66" si="51">SUM(BG35:BZ35)</f>
        <v>0</v>
      </c>
      <c r="BG35" s="75">
        <f t="shared" ref="BG35:BG58" si="52">+N35-AK35</f>
        <v>0</v>
      </c>
      <c r="BH35" s="75">
        <f t="shared" ref="BH35:BJ37" si="53">O35-AL35</f>
        <v>0</v>
      </c>
      <c r="BI35" s="75">
        <f t="shared" si="53"/>
        <v>0</v>
      </c>
      <c r="BJ35" s="75">
        <f t="shared" si="53"/>
        <v>0</v>
      </c>
      <c r="BK35" s="75"/>
      <c r="BL35" s="75">
        <f t="shared" ref="BL35:BL58" si="54">+S35-AP35</f>
        <v>0</v>
      </c>
      <c r="BM35" s="75">
        <f t="shared" ref="BM35:BM58" si="55">+T35-AQ35</f>
        <v>0</v>
      </c>
      <c r="BN35" s="75"/>
      <c r="BO35" s="75"/>
      <c r="BP35" s="75">
        <f t="shared" ref="BP35:BP42" si="56">+W35-AT35</f>
        <v>0</v>
      </c>
      <c r="BQ35" s="75"/>
      <c r="BR35" s="75">
        <f t="shared" ref="BR35:BR54" si="57">+Y35-AV35</f>
        <v>0</v>
      </c>
      <c r="BS35" s="75">
        <f t="shared" ref="BS35:BS54" si="58">+Z35-AW35</f>
        <v>0</v>
      </c>
      <c r="BT35" s="75">
        <f t="shared" ref="BT35:BT54" si="59">+AA35-AX35</f>
        <v>0</v>
      </c>
      <c r="BU35" s="75">
        <f t="shared" ref="BU35:BU54" si="60">+AB35-AY35</f>
        <v>0</v>
      </c>
      <c r="BV35" s="75">
        <f t="shared" ref="BV35:BV54" si="61">+AC35-AZ35</f>
        <v>0</v>
      </c>
      <c r="BW35" s="75">
        <f t="shared" ref="BW35:BW54" si="62">+AD35-BA35</f>
        <v>0</v>
      </c>
      <c r="BX35" s="75"/>
      <c r="BY35" s="75"/>
      <c r="BZ35" s="75">
        <f t="shared" ref="BZ35:BZ66" si="63">+AG35-BD35</f>
        <v>0</v>
      </c>
      <c r="CA35" s="25">
        <f t="shared" si="14"/>
        <v>0.98076941576439469</v>
      </c>
      <c r="CB35" s="75">
        <f t="shared" ref="CB35:CB66" si="64">SUM(CC35:CV35)</f>
        <v>611824441</v>
      </c>
      <c r="CC35" s="75"/>
      <c r="CD35" s="75"/>
      <c r="CE35" s="75">
        <f>+'[7]MAYO 2015'!$H$730+'[7]MAYO 2015'!$H$740</f>
        <v>280000000</v>
      </c>
      <c r="CF35" s="75">
        <f>+'[6]JUNIO 2015'!$H$871+'[6]JUNIO 2015'!$H$882</f>
        <v>303820881</v>
      </c>
      <c r="CG35" s="75"/>
      <c r="CH35" s="75">
        <f>+'[2]JULIO 2015'!$H$1039</f>
        <v>28003560</v>
      </c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121">
        <f t="shared" ref="CW35:CW67" si="65">1-CA35</f>
        <v>1.9230584235605308E-2</v>
      </c>
      <c r="CX35" s="75">
        <f t="shared" ref="CX35:CX66" si="66">SUM(CY35:DR35)</f>
        <v>11996440</v>
      </c>
      <c r="CY35" s="75"/>
      <c r="CZ35" s="75">
        <f t="shared" ref="CZ35:DB37" si="67">O35-CD35</f>
        <v>0</v>
      </c>
      <c r="DA35" s="75">
        <f t="shared" si="67"/>
        <v>0</v>
      </c>
      <c r="DB35" s="75">
        <f t="shared" si="67"/>
        <v>0</v>
      </c>
      <c r="DC35" s="75"/>
      <c r="DD35" s="75">
        <f t="shared" ref="DD35:DD58" si="68">S35-CH35</f>
        <v>11996440</v>
      </c>
      <c r="DE35" s="75">
        <f t="shared" ref="DE35:DE58" si="69">T35-CI35</f>
        <v>0</v>
      </c>
      <c r="DF35" s="75"/>
      <c r="DG35" s="75">
        <f t="shared" ref="DG35:DG58" si="70">+V35-CK35</f>
        <v>0</v>
      </c>
      <c r="DH35" s="75">
        <f t="shared" ref="DH35:DH58" si="71">+W35-CL35</f>
        <v>0</v>
      </c>
      <c r="DI35" s="75"/>
      <c r="DJ35" s="75">
        <f t="shared" ref="DJ35:DJ58" si="72">Y35-CN35</f>
        <v>0</v>
      </c>
      <c r="DK35" s="75">
        <f t="shared" ref="DK35:DK58" si="73">Z35-CO35</f>
        <v>0</v>
      </c>
      <c r="DL35" s="75">
        <f t="shared" ref="DL35:DL58" si="74">AA35-CP35</f>
        <v>0</v>
      </c>
      <c r="DM35" s="75">
        <f t="shared" ref="DM35:DM58" si="75">+AB35-CQ35</f>
        <v>0</v>
      </c>
      <c r="DN35" s="75">
        <f t="shared" ref="DN35:DN58" si="76">+AC35-CR35</f>
        <v>0</v>
      </c>
      <c r="DO35" s="75">
        <f t="shared" ref="DO35:DO58" si="77">+AD35-CS35</f>
        <v>0</v>
      </c>
      <c r="DP35" s="75">
        <f t="shared" ref="DP35:DP58" si="78">+AE35-CT35</f>
        <v>0</v>
      </c>
      <c r="DQ35" s="75"/>
      <c r="DR35" s="75">
        <f t="shared" ref="DR35:DR66" si="79">+AG35-CV35</f>
        <v>0</v>
      </c>
    </row>
    <row r="36" spans="1:122" ht="33" hidden="1" customHeight="1" x14ac:dyDescent="0.25">
      <c r="A36" s="226"/>
      <c r="B36" s="81"/>
      <c r="C36" s="82" t="s">
        <v>416</v>
      </c>
      <c r="D36" s="81" t="s">
        <v>415</v>
      </c>
      <c r="E36" s="97">
        <v>410</v>
      </c>
      <c r="F36" s="78" t="s">
        <v>214</v>
      </c>
      <c r="G36" s="228"/>
      <c r="H36" s="79">
        <f t="shared" si="47"/>
        <v>7649518</v>
      </c>
      <c r="I36" s="79">
        <f t="shared" si="48"/>
        <v>0</v>
      </c>
      <c r="J36" s="78" t="s">
        <v>414</v>
      </c>
      <c r="K36" s="78" t="s">
        <v>413</v>
      </c>
      <c r="L36" s="78" t="s">
        <v>412</v>
      </c>
      <c r="M36" s="75">
        <f t="shared" si="49"/>
        <v>7649518</v>
      </c>
      <c r="N36" s="75"/>
      <c r="O36" s="75">
        <f>100000000-92350482</f>
        <v>7649518</v>
      </c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I36" s="25">
        <f t="shared" ref="AI36:AI67" si="80">+AJ36/M36</f>
        <v>1</v>
      </c>
      <c r="AJ36" s="75">
        <f t="shared" si="50"/>
        <v>7649518</v>
      </c>
      <c r="AK36" s="75"/>
      <c r="AL36" s="75">
        <v>7649518</v>
      </c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25">
        <f t="shared" si="41"/>
        <v>0</v>
      </c>
      <c r="BF36" s="75">
        <f t="shared" si="51"/>
        <v>0</v>
      </c>
      <c r="BG36" s="75">
        <f t="shared" si="52"/>
        <v>0</v>
      </c>
      <c r="BH36" s="75">
        <f t="shared" si="53"/>
        <v>0</v>
      </c>
      <c r="BI36" s="75">
        <f t="shared" si="53"/>
        <v>0</v>
      </c>
      <c r="BJ36" s="75">
        <f t="shared" si="53"/>
        <v>0</v>
      </c>
      <c r="BK36" s="75"/>
      <c r="BL36" s="75">
        <f t="shared" si="54"/>
        <v>0</v>
      </c>
      <c r="BM36" s="75">
        <f t="shared" si="55"/>
        <v>0</v>
      </c>
      <c r="BN36" s="75"/>
      <c r="BO36" s="75"/>
      <c r="BP36" s="75">
        <f t="shared" si="56"/>
        <v>0</v>
      </c>
      <c r="BQ36" s="75"/>
      <c r="BR36" s="75">
        <f t="shared" si="57"/>
        <v>0</v>
      </c>
      <c r="BS36" s="75">
        <f t="shared" si="58"/>
        <v>0</v>
      </c>
      <c r="BT36" s="75">
        <f t="shared" si="59"/>
        <v>0</v>
      </c>
      <c r="BU36" s="75">
        <f t="shared" si="60"/>
        <v>0</v>
      </c>
      <c r="BV36" s="75">
        <f t="shared" si="61"/>
        <v>0</v>
      </c>
      <c r="BW36" s="75">
        <f t="shared" si="62"/>
        <v>0</v>
      </c>
      <c r="BX36" s="75"/>
      <c r="BY36" s="75"/>
      <c r="BZ36" s="75">
        <f t="shared" si="63"/>
        <v>0</v>
      </c>
      <c r="CA36" s="25">
        <f t="shared" ref="CA36:CA67" si="81">+CB36/M36</f>
        <v>1</v>
      </c>
      <c r="CB36" s="75">
        <f t="shared" si="64"/>
        <v>7649518</v>
      </c>
      <c r="CC36" s="75"/>
      <c r="CD36" s="75">
        <f>+'[6]JUNIO 2015'!$K$891</f>
        <v>7649518</v>
      </c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121">
        <f t="shared" si="65"/>
        <v>0</v>
      </c>
      <c r="CX36" s="75">
        <f t="shared" si="66"/>
        <v>0</v>
      </c>
      <c r="CY36" s="75"/>
      <c r="CZ36" s="75">
        <f t="shared" si="67"/>
        <v>0</v>
      </c>
      <c r="DA36" s="75">
        <f t="shared" si="67"/>
        <v>0</v>
      </c>
      <c r="DB36" s="75">
        <f t="shared" si="67"/>
        <v>0</v>
      </c>
      <c r="DC36" s="75"/>
      <c r="DD36" s="75">
        <f t="shared" si="68"/>
        <v>0</v>
      </c>
      <c r="DE36" s="75">
        <f t="shared" si="69"/>
        <v>0</v>
      </c>
      <c r="DF36" s="75"/>
      <c r="DG36" s="75">
        <f t="shared" si="70"/>
        <v>0</v>
      </c>
      <c r="DH36" s="75">
        <f t="shared" si="71"/>
        <v>0</v>
      </c>
      <c r="DI36" s="75"/>
      <c r="DJ36" s="75">
        <f t="shared" si="72"/>
        <v>0</v>
      </c>
      <c r="DK36" s="75">
        <f t="shared" si="73"/>
        <v>0</v>
      </c>
      <c r="DL36" s="75">
        <f t="shared" si="74"/>
        <v>0</v>
      </c>
      <c r="DM36" s="75">
        <f t="shared" si="75"/>
        <v>0</v>
      </c>
      <c r="DN36" s="75">
        <f t="shared" si="76"/>
        <v>0</v>
      </c>
      <c r="DO36" s="75">
        <f t="shared" si="77"/>
        <v>0</v>
      </c>
      <c r="DP36" s="75">
        <f t="shared" si="78"/>
        <v>0</v>
      </c>
      <c r="DQ36" s="75"/>
      <c r="DR36" s="75">
        <f t="shared" si="79"/>
        <v>0</v>
      </c>
    </row>
    <row r="37" spans="1:122" ht="48.75" hidden="1" customHeight="1" x14ac:dyDescent="0.25">
      <c r="A37" s="226"/>
      <c r="B37" s="81"/>
      <c r="C37" s="82" t="s">
        <v>411</v>
      </c>
      <c r="D37" s="81" t="s">
        <v>410</v>
      </c>
      <c r="E37" s="97">
        <v>410</v>
      </c>
      <c r="F37" s="78" t="s">
        <v>214</v>
      </c>
      <c r="G37" s="229"/>
      <c r="H37" s="79">
        <f t="shared" si="47"/>
        <v>123114984</v>
      </c>
      <c r="I37" s="79">
        <f t="shared" si="48"/>
        <v>1252839</v>
      </c>
      <c r="J37" s="78" t="s">
        <v>409</v>
      </c>
      <c r="K37" s="78" t="s">
        <v>408</v>
      </c>
      <c r="L37" s="78" t="s">
        <v>407</v>
      </c>
      <c r="M37" s="75">
        <f t="shared" si="49"/>
        <v>124367823</v>
      </c>
      <c r="N37" s="75"/>
      <c r="O37" s="75">
        <f>100000000-38824072</f>
        <v>61175928</v>
      </c>
      <c r="P37" s="75"/>
      <c r="Q37" s="75"/>
      <c r="R37" s="75"/>
      <c r="S37" s="75">
        <v>50000000</v>
      </c>
      <c r="T37" s="75"/>
      <c r="U37" s="75"/>
      <c r="V37" s="75"/>
      <c r="W37" s="75"/>
      <c r="X37" s="75"/>
      <c r="Y37" s="75"/>
      <c r="Z37" s="75"/>
      <c r="AA37" s="75"/>
      <c r="AB37" s="75"/>
      <c r="AC37" s="75">
        <v>13191895</v>
      </c>
      <c r="AD37" s="75"/>
      <c r="AE37" s="75"/>
      <c r="AF37" s="75"/>
      <c r="AG37" s="75"/>
      <c r="AI37" s="25">
        <f t="shared" si="80"/>
        <v>1</v>
      </c>
      <c r="AJ37" s="75">
        <f t="shared" si="50"/>
        <v>124367823</v>
      </c>
      <c r="AK37" s="75"/>
      <c r="AL37" s="75">
        <f>+'[6]JUNIO 2015'!$K$897</f>
        <v>61175928</v>
      </c>
      <c r="AM37" s="75"/>
      <c r="AN37" s="75"/>
      <c r="AO37" s="75"/>
      <c r="AP37" s="75">
        <f>+'[6]JUNIO 2015'!$O$897</f>
        <v>50000000</v>
      </c>
      <c r="AQ37" s="75"/>
      <c r="AR37" s="75"/>
      <c r="AS37" s="75"/>
      <c r="AT37" s="75"/>
      <c r="AU37" s="75"/>
      <c r="AV37" s="75"/>
      <c r="AW37" s="75"/>
      <c r="AX37" s="75"/>
      <c r="AY37" s="75"/>
      <c r="AZ37" s="75">
        <f>+'[2]JULIO 2015'!$Y$1052</f>
        <v>13191895</v>
      </c>
      <c r="BA37" s="75"/>
      <c r="BB37" s="75"/>
      <c r="BC37" s="75"/>
      <c r="BD37" s="75"/>
      <c r="BE37" s="25">
        <f t="shared" si="41"/>
        <v>0</v>
      </c>
      <c r="BF37" s="75">
        <f t="shared" si="51"/>
        <v>0</v>
      </c>
      <c r="BG37" s="75">
        <f t="shared" si="52"/>
        <v>0</v>
      </c>
      <c r="BH37" s="75">
        <f t="shared" si="53"/>
        <v>0</v>
      </c>
      <c r="BI37" s="75">
        <f t="shared" si="53"/>
        <v>0</v>
      </c>
      <c r="BJ37" s="75">
        <f t="shared" si="53"/>
        <v>0</v>
      </c>
      <c r="BK37" s="75"/>
      <c r="BL37" s="75">
        <f t="shared" si="54"/>
        <v>0</v>
      </c>
      <c r="BM37" s="75">
        <f t="shared" si="55"/>
        <v>0</v>
      </c>
      <c r="BN37" s="75"/>
      <c r="BO37" s="75"/>
      <c r="BP37" s="75">
        <f t="shared" si="56"/>
        <v>0</v>
      </c>
      <c r="BQ37" s="75"/>
      <c r="BR37" s="75">
        <f t="shared" si="57"/>
        <v>0</v>
      </c>
      <c r="BS37" s="75">
        <f t="shared" si="58"/>
        <v>0</v>
      </c>
      <c r="BT37" s="75">
        <f t="shared" si="59"/>
        <v>0</v>
      </c>
      <c r="BU37" s="75">
        <f t="shared" si="60"/>
        <v>0</v>
      </c>
      <c r="BV37" s="75">
        <f t="shared" si="61"/>
        <v>0</v>
      </c>
      <c r="BW37" s="75">
        <f t="shared" si="62"/>
        <v>0</v>
      </c>
      <c r="BX37" s="75"/>
      <c r="BY37" s="75"/>
      <c r="BZ37" s="75">
        <f t="shared" si="63"/>
        <v>0</v>
      </c>
      <c r="CA37" s="25">
        <f t="shared" si="81"/>
        <v>0.98992634131740009</v>
      </c>
      <c r="CB37" s="75">
        <f t="shared" si="64"/>
        <v>123114984</v>
      </c>
      <c r="CC37" s="75"/>
      <c r="CD37" s="75">
        <f>+'[6]JUNIO 2015'!$H$898</f>
        <v>61175928</v>
      </c>
      <c r="CE37" s="75"/>
      <c r="CF37" s="75"/>
      <c r="CG37" s="75"/>
      <c r="CH37" s="75">
        <f>+'[1]AGOSTO 2015'!$H$1208</f>
        <v>48747161</v>
      </c>
      <c r="CI37" s="75"/>
      <c r="CJ37" s="75"/>
      <c r="CK37" s="75"/>
      <c r="CL37" s="75"/>
      <c r="CM37" s="75"/>
      <c r="CN37" s="75"/>
      <c r="CO37" s="75"/>
      <c r="CP37" s="75"/>
      <c r="CQ37" s="75"/>
      <c r="CR37" s="75">
        <f>+'[2]JULIO 2015'!$H$1079</f>
        <v>13191895</v>
      </c>
      <c r="CS37" s="75"/>
      <c r="CT37" s="75"/>
      <c r="CU37" s="75"/>
      <c r="CV37" s="75"/>
      <c r="CW37" s="121">
        <f t="shared" si="65"/>
        <v>1.0073658682599906E-2</v>
      </c>
      <c r="CX37" s="75">
        <f t="shared" si="66"/>
        <v>1252839</v>
      </c>
      <c r="CY37" s="75"/>
      <c r="CZ37" s="75">
        <f t="shared" si="67"/>
        <v>0</v>
      </c>
      <c r="DA37" s="75">
        <f t="shared" si="67"/>
        <v>0</v>
      </c>
      <c r="DB37" s="75">
        <f t="shared" si="67"/>
        <v>0</v>
      </c>
      <c r="DC37" s="75"/>
      <c r="DD37" s="75">
        <f t="shared" si="68"/>
        <v>1252839</v>
      </c>
      <c r="DE37" s="75">
        <f t="shared" si="69"/>
        <v>0</v>
      </c>
      <c r="DF37" s="75"/>
      <c r="DG37" s="75">
        <f t="shared" si="70"/>
        <v>0</v>
      </c>
      <c r="DH37" s="75">
        <f t="shared" si="71"/>
        <v>0</v>
      </c>
      <c r="DI37" s="75"/>
      <c r="DJ37" s="75">
        <f t="shared" si="72"/>
        <v>0</v>
      </c>
      <c r="DK37" s="75">
        <f t="shared" si="73"/>
        <v>0</v>
      </c>
      <c r="DL37" s="75">
        <f t="shared" si="74"/>
        <v>0</v>
      </c>
      <c r="DM37" s="75">
        <f t="shared" si="75"/>
        <v>0</v>
      </c>
      <c r="DN37" s="75">
        <f t="shared" si="76"/>
        <v>0</v>
      </c>
      <c r="DO37" s="75">
        <f t="shared" si="77"/>
        <v>0</v>
      </c>
      <c r="DP37" s="75">
        <f t="shared" si="78"/>
        <v>0</v>
      </c>
      <c r="DQ37" s="75"/>
      <c r="DR37" s="75">
        <f t="shared" si="79"/>
        <v>0</v>
      </c>
    </row>
    <row r="38" spans="1:122" ht="32.25" hidden="1" customHeight="1" x14ac:dyDescent="0.25">
      <c r="A38" s="226"/>
      <c r="B38" s="81" t="s">
        <v>406</v>
      </c>
      <c r="C38" s="82" t="s">
        <v>405</v>
      </c>
      <c r="D38" s="81" t="s">
        <v>404</v>
      </c>
      <c r="E38" s="97">
        <v>410</v>
      </c>
      <c r="F38" s="78" t="s">
        <v>214</v>
      </c>
      <c r="G38" s="227">
        <v>170000000</v>
      </c>
      <c r="H38" s="79">
        <f t="shared" si="47"/>
        <v>0</v>
      </c>
      <c r="I38" s="79">
        <f t="shared" si="48"/>
        <v>10000000</v>
      </c>
      <c r="J38" s="78" t="s">
        <v>403</v>
      </c>
      <c r="K38" s="78" t="s">
        <v>402</v>
      </c>
      <c r="L38" s="78" t="s">
        <v>401</v>
      </c>
      <c r="M38" s="75">
        <f t="shared" si="49"/>
        <v>10000000</v>
      </c>
      <c r="N38" s="75"/>
      <c r="O38" s="75"/>
      <c r="P38" s="75"/>
      <c r="Q38" s="75"/>
      <c r="R38" s="75"/>
      <c r="S38" s="75">
        <v>10000000</v>
      </c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I38" s="25">
        <f t="shared" si="80"/>
        <v>1</v>
      </c>
      <c r="AJ38" s="75">
        <f t="shared" si="50"/>
        <v>10000000</v>
      </c>
      <c r="AK38" s="75"/>
      <c r="AL38" s="75"/>
      <c r="AM38" s="75"/>
      <c r="AN38" s="75"/>
      <c r="AO38" s="75"/>
      <c r="AP38" s="75">
        <f>+'[8]FEBRERO 2015'!$N$490</f>
        <v>10000000</v>
      </c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25">
        <f t="shared" si="41"/>
        <v>0</v>
      </c>
      <c r="BF38" s="75">
        <f t="shared" si="51"/>
        <v>0</v>
      </c>
      <c r="BG38" s="75">
        <f t="shared" si="52"/>
        <v>0</v>
      </c>
      <c r="BH38" s="75"/>
      <c r="BI38" s="75">
        <f t="shared" ref="BI38:BI58" si="82">P38-AM38</f>
        <v>0</v>
      </c>
      <c r="BJ38" s="75">
        <f t="shared" ref="BJ38:BJ58" si="83">Q38-AN38</f>
        <v>0</v>
      </c>
      <c r="BK38" s="75"/>
      <c r="BL38" s="75">
        <f t="shared" si="54"/>
        <v>0</v>
      </c>
      <c r="BM38" s="75">
        <f t="shared" si="55"/>
        <v>0</v>
      </c>
      <c r="BN38" s="75"/>
      <c r="BO38" s="75">
        <f>+V38-AS38</f>
        <v>0</v>
      </c>
      <c r="BP38" s="75">
        <f t="shared" si="56"/>
        <v>0</v>
      </c>
      <c r="BQ38" s="75">
        <f>+X38-AU38</f>
        <v>0</v>
      </c>
      <c r="BR38" s="75">
        <f t="shared" si="57"/>
        <v>0</v>
      </c>
      <c r="BS38" s="75">
        <f t="shared" si="58"/>
        <v>0</v>
      </c>
      <c r="BT38" s="75">
        <f t="shared" si="59"/>
        <v>0</v>
      </c>
      <c r="BU38" s="75">
        <f t="shared" si="60"/>
        <v>0</v>
      </c>
      <c r="BV38" s="75">
        <f t="shared" si="61"/>
        <v>0</v>
      </c>
      <c r="BW38" s="75">
        <f t="shared" si="62"/>
        <v>0</v>
      </c>
      <c r="BX38" s="75"/>
      <c r="BY38" s="75"/>
      <c r="BZ38" s="75">
        <f t="shared" si="63"/>
        <v>0</v>
      </c>
      <c r="CA38" s="25">
        <f t="shared" si="81"/>
        <v>0</v>
      </c>
      <c r="CB38" s="75">
        <f t="shared" si="64"/>
        <v>0</v>
      </c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121">
        <f t="shared" si="65"/>
        <v>1</v>
      </c>
      <c r="CX38" s="75">
        <f t="shared" si="66"/>
        <v>10000000</v>
      </c>
      <c r="CY38" s="75"/>
      <c r="CZ38" s="75"/>
      <c r="DA38" s="75"/>
      <c r="DB38" s="75"/>
      <c r="DC38" s="75"/>
      <c r="DD38" s="75">
        <f t="shared" si="68"/>
        <v>10000000</v>
      </c>
      <c r="DE38" s="75">
        <f t="shared" si="69"/>
        <v>0</v>
      </c>
      <c r="DF38" s="75"/>
      <c r="DG38" s="75">
        <f t="shared" si="70"/>
        <v>0</v>
      </c>
      <c r="DH38" s="75">
        <f t="shared" si="71"/>
        <v>0</v>
      </c>
      <c r="DI38" s="75"/>
      <c r="DJ38" s="75">
        <f t="shared" si="72"/>
        <v>0</v>
      </c>
      <c r="DK38" s="75">
        <f t="shared" si="73"/>
        <v>0</v>
      </c>
      <c r="DL38" s="75">
        <f t="shared" si="74"/>
        <v>0</v>
      </c>
      <c r="DM38" s="75">
        <f t="shared" si="75"/>
        <v>0</v>
      </c>
      <c r="DN38" s="75">
        <f t="shared" si="76"/>
        <v>0</v>
      </c>
      <c r="DO38" s="75">
        <f t="shared" si="77"/>
        <v>0</v>
      </c>
      <c r="DP38" s="75">
        <f t="shared" si="78"/>
        <v>0</v>
      </c>
      <c r="DQ38" s="75"/>
      <c r="DR38" s="75">
        <f t="shared" si="79"/>
        <v>0</v>
      </c>
    </row>
    <row r="39" spans="1:122" ht="33" hidden="1" customHeight="1" x14ac:dyDescent="0.25">
      <c r="A39" s="226"/>
      <c r="B39" s="81"/>
      <c r="C39" s="82" t="s">
        <v>400</v>
      </c>
      <c r="D39" s="81" t="s">
        <v>399</v>
      </c>
      <c r="E39" s="97">
        <v>410</v>
      </c>
      <c r="F39" s="78" t="s">
        <v>214</v>
      </c>
      <c r="G39" s="228"/>
      <c r="H39" s="79">
        <f t="shared" si="47"/>
        <v>60634173</v>
      </c>
      <c r="I39" s="79">
        <f t="shared" si="48"/>
        <v>120209912</v>
      </c>
      <c r="J39" s="78" t="s">
        <v>398</v>
      </c>
      <c r="K39" s="78" t="s">
        <v>397</v>
      </c>
      <c r="L39" s="78" t="s">
        <v>396</v>
      </c>
      <c r="M39" s="75">
        <f t="shared" si="49"/>
        <v>180844085</v>
      </c>
      <c r="N39" s="75"/>
      <c r="O39" s="75"/>
      <c r="P39" s="75"/>
      <c r="Q39" s="75"/>
      <c r="R39" s="75"/>
      <c r="S39" s="75">
        <v>20000000</v>
      </c>
      <c r="T39" s="75"/>
      <c r="U39" s="75"/>
      <c r="V39" s="75"/>
      <c r="W39" s="75"/>
      <c r="X39" s="75"/>
      <c r="Y39" s="75"/>
      <c r="Z39" s="75"/>
      <c r="AA39" s="75"/>
      <c r="AB39" s="75">
        <f>100000000-20000000</f>
        <v>80000000</v>
      </c>
      <c r="AC39" s="75"/>
      <c r="AD39" s="75"/>
      <c r="AE39" s="75">
        <v>80844085</v>
      </c>
      <c r="AF39" s="75"/>
      <c r="AG39" s="75"/>
      <c r="AI39" s="25">
        <f t="shared" si="80"/>
        <v>0.91178572967979576</v>
      </c>
      <c r="AJ39" s="75">
        <f t="shared" si="50"/>
        <v>164891056</v>
      </c>
      <c r="AK39" s="75"/>
      <c r="AL39" s="75"/>
      <c r="AM39" s="75"/>
      <c r="AN39" s="75"/>
      <c r="AO39" s="75"/>
      <c r="AP39" s="75">
        <f>+'[8]FEBRERO 2015'!$N$495</f>
        <v>20000000</v>
      </c>
      <c r="AQ39" s="75"/>
      <c r="AR39" s="75"/>
      <c r="AS39" s="75"/>
      <c r="AT39" s="75"/>
      <c r="AU39" s="75"/>
      <c r="AV39" s="75"/>
      <c r="AW39" s="75"/>
      <c r="AX39" s="75"/>
      <c r="AY39" s="75">
        <f>+'[2]JULIO 2015'!$X$1091</f>
        <v>64046971</v>
      </c>
      <c r="AZ39" s="75"/>
      <c r="BA39" s="75"/>
      <c r="BB39" s="75">
        <f>+'[4]MARZO 2015'!$Z$635</f>
        <v>80844085</v>
      </c>
      <c r="BC39" s="75"/>
      <c r="BD39" s="75"/>
      <c r="BE39" s="25">
        <f t="shared" si="41"/>
        <v>8.8214270320204236E-2</v>
      </c>
      <c r="BF39" s="75">
        <f t="shared" si="51"/>
        <v>15953029</v>
      </c>
      <c r="BG39" s="75">
        <f t="shared" si="52"/>
        <v>0</v>
      </c>
      <c r="BH39" s="75"/>
      <c r="BI39" s="75">
        <f t="shared" si="82"/>
        <v>0</v>
      </c>
      <c r="BJ39" s="75">
        <f t="shared" si="83"/>
        <v>0</v>
      </c>
      <c r="BK39" s="75"/>
      <c r="BL39" s="75">
        <f t="shared" si="54"/>
        <v>0</v>
      </c>
      <c r="BM39" s="75">
        <f t="shared" si="55"/>
        <v>0</v>
      </c>
      <c r="BN39" s="75"/>
      <c r="BO39" s="75">
        <f>+V39-AS39</f>
        <v>0</v>
      </c>
      <c r="BP39" s="75">
        <f t="shared" si="56"/>
        <v>0</v>
      </c>
      <c r="BQ39" s="75">
        <f>+X39-AU39</f>
        <v>0</v>
      </c>
      <c r="BR39" s="75">
        <f t="shared" si="57"/>
        <v>0</v>
      </c>
      <c r="BS39" s="75">
        <f t="shared" si="58"/>
        <v>0</v>
      </c>
      <c r="BT39" s="75">
        <f t="shared" si="59"/>
        <v>0</v>
      </c>
      <c r="BU39" s="75">
        <f t="shared" si="60"/>
        <v>15953029</v>
      </c>
      <c r="BV39" s="75">
        <f t="shared" si="61"/>
        <v>0</v>
      </c>
      <c r="BW39" s="75">
        <f t="shared" si="62"/>
        <v>0</v>
      </c>
      <c r="BX39" s="75"/>
      <c r="BY39" s="75"/>
      <c r="BZ39" s="75">
        <f t="shared" si="63"/>
        <v>0</v>
      </c>
      <c r="CA39" s="25">
        <f t="shared" si="81"/>
        <v>0.33528424775408056</v>
      </c>
      <c r="CB39" s="75">
        <f t="shared" si="64"/>
        <v>60634173</v>
      </c>
      <c r="CC39" s="75"/>
      <c r="CD39" s="75"/>
      <c r="CE39" s="75"/>
      <c r="CF39" s="75"/>
      <c r="CG39" s="75"/>
      <c r="CH39" s="75">
        <f>+'[6]JUNIO 2015'!$H$924</f>
        <v>20000000</v>
      </c>
      <c r="CI39" s="75"/>
      <c r="CJ39" s="75"/>
      <c r="CK39" s="75"/>
      <c r="CL39" s="75"/>
      <c r="CM39" s="75"/>
      <c r="CN39" s="75"/>
      <c r="CO39" s="75"/>
      <c r="CP39" s="75"/>
      <c r="CQ39" s="75">
        <f>+'[2]JULIO 2015'!$H$1097</f>
        <v>14819076</v>
      </c>
      <c r="CR39" s="75"/>
      <c r="CS39" s="75"/>
      <c r="CT39" s="75">
        <f>+'[2]JULIO 2015'!$H$1106</f>
        <v>25815097</v>
      </c>
      <c r="CU39" s="75"/>
      <c r="CV39" s="75"/>
      <c r="CW39" s="121">
        <f t="shared" si="65"/>
        <v>0.6647157522459195</v>
      </c>
      <c r="CX39" s="75">
        <f t="shared" si="66"/>
        <v>120209912</v>
      </c>
      <c r="CY39" s="75"/>
      <c r="CZ39" s="75"/>
      <c r="DA39" s="75"/>
      <c r="DB39" s="75"/>
      <c r="DC39" s="75"/>
      <c r="DD39" s="75">
        <f t="shared" si="68"/>
        <v>0</v>
      </c>
      <c r="DE39" s="75">
        <f t="shared" si="69"/>
        <v>0</v>
      </c>
      <c r="DF39" s="75"/>
      <c r="DG39" s="75">
        <f t="shared" si="70"/>
        <v>0</v>
      </c>
      <c r="DH39" s="75">
        <f t="shared" si="71"/>
        <v>0</v>
      </c>
      <c r="DI39" s="75"/>
      <c r="DJ39" s="75">
        <f t="shared" si="72"/>
        <v>0</v>
      </c>
      <c r="DK39" s="75">
        <f t="shared" si="73"/>
        <v>0</v>
      </c>
      <c r="DL39" s="75">
        <f t="shared" si="74"/>
        <v>0</v>
      </c>
      <c r="DM39" s="75">
        <f t="shared" si="75"/>
        <v>65180924</v>
      </c>
      <c r="DN39" s="75">
        <f t="shared" si="76"/>
        <v>0</v>
      </c>
      <c r="DO39" s="75">
        <f t="shared" si="77"/>
        <v>0</v>
      </c>
      <c r="DP39" s="75">
        <f t="shared" si="78"/>
        <v>55028988</v>
      </c>
      <c r="DQ39" s="75"/>
      <c r="DR39" s="75">
        <f t="shared" si="79"/>
        <v>0</v>
      </c>
    </row>
    <row r="40" spans="1:122" ht="37.5" hidden="1" customHeight="1" x14ac:dyDescent="0.25">
      <c r="A40" s="226"/>
      <c r="B40" s="81"/>
      <c r="C40" s="82" t="s">
        <v>395</v>
      </c>
      <c r="D40" s="81" t="s">
        <v>394</v>
      </c>
      <c r="E40" s="97">
        <v>410</v>
      </c>
      <c r="F40" s="78" t="s">
        <v>214</v>
      </c>
      <c r="G40" s="228"/>
      <c r="H40" s="79">
        <f t="shared" si="47"/>
        <v>1064000</v>
      </c>
      <c r="I40" s="79">
        <f t="shared" si="48"/>
        <v>8936000</v>
      </c>
      <c r="J40" s="78" t="s">
        <v>393</v>
      </c>
      <c r="K40" s="78" t="s">
        <v>392</v>
      </c>
      <c r="L40" s="78" t="s">
        <v>391</v>
      </c>
      <c r="M40" s="75">
        <f t="shared" si="49"/>
        <v>10000000</v>
      </c>
      <c r="N40" s="75"/>
      <c r="O40" s="75"/>
      <c r="P40" s="75"/>
      <c r="Q40" s="75"/>
      <c r="R40" s="75"/>
      <c r="S40" s="75">
        <v>10000000</v>
      </c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I40" s="25">
        <f t="shared" si="80"/>
        <v>1</v>
      </c>
      <c r="AJ40" s="75">
        <f t="shared" si="50"/>
        <v>10000000</v>
      </c>
      <c r="AK40" s="75"/>
      <c r="AL40" s="75"/>
      <c r="AM40" s="75"/>
      <c r="AN40" s="75"/>
      <c r="AO40" s="75"/>
      <c r="AP40" s="75">
        <f>+'[8]FEBRERO 2015'!$N$501</f>
        <v>10000000</v>
      </c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25">
        <f t="shared" si="41"/>
        <v>0</v>
      </c>
      <c r="BF40" s="75">
        <f t="shared" si="51"/>
        <v>0</v>
      </c>
      <c r="BG40" s="75">
        <f t="shared" si="52"/>
        <v>0</v>
      </c>
      <c r="BH40" s="75"/>
      <c r="BI40" s="75">
        <f t="shared" si="82"/>
        <v>0</v>
      </c>
      <c r="BJ40" s="75">
        <f t="shared" si="83"/>
        <v>0</v>
      </c>
      <c r="BK40" s="75"/>
      <c r="BL40" s="75">
        <f t="shared" si="54"/>
        <v>0</v>
      </c>
      <c r="BM40" s="75">
        <f t="shared" si="55"/>
        <v>0</v>
      </c>
      <c r="BN40" s="75"/>
      <c r="BO40" s="75">
        <f>+V40-AS40</f>
        <v>0</v>
      </c>
      <c r="BP40" s="75">
        <f t="shared" si="56"/>
        <v>0</v>
      </c>
      <c r="BQ40" s="75">
        <f>+X40-AU40</f>
        <v>0</v>
      </c>
      <c r="BR40" s="75">
        <f t="shared" si="57"/>
        <v>0</v>
      </c>
      <c r="BS40" s="75">
        <f t="shared" si="58"/>
        <v>0</v>
      </c>
      <c r="BT40" s="75">
        <f t="shared" si="59"/>
        <v>0</v>
      </c>
      <c r="BU40" s="75">
        <f t="shared" si="60"/>
        <v>0</v>
      </c>
      <c r="BV40" s="75">
        <f t="shared" si="61"/>
        <v>0</v>
      </c>
      <c r="BW40" s="75">
        <f t="shared" si="62"/>
        <v>0</v>
      </c>
      <c r="BX40" s="75"/>
      <c r="BY40" s="75"/>
      <c r="BZ40" s="75">
        <f t="shared" si="63"/>
        <v>0</v>
      </c>
      <c r="CA40" s="25">
        <f t="shared" si="81"/>
        <v>0.10639999999999999</v>
      </c>
      <c r="CB40" s="75">
        <f t="shared" si="64"/>
        <v>1064000</v>
      </c>
      <c r="CC40" s="75"/>
      <c r="CD40" s="75"/>
      <c r="CE40" s="75"/>
      <c r="CF40" s="75"/>
      <c r="CG40" s="75"/>
      <c r="CH40" s="75">
        <f>+'[1]AGOSTO 2015'!$H$1265</f>
        <v>1064000</v>
      </c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121">
        <f t="shared" si="65"/>
        <v>0.89359999999999995</v>
      </c>
      <c r="CX40" s="75">
        <f t="shared" si="66"/>
        <v>8936000</v>
      </c>
      <c r="CY40" s="75"/>
      <c r="CZ40" s="75"/>
      <c r="DA40" s="75"/>
      <c r="DB40" s="75"/>
      <c r="DC40" s="75"/>
      <c r="DD40" s="75">
        <f t="shared" si="68"/>
        <v>8936000</v>
      </c>
      <c r="DE40" s="75">
        <f t="shared" si="69"/>
        <v>0</v>
      </c>
      <c r="DF40" s="75"/>
      <c r="DG40" s="75">
        <f t="shared" si="70"/>
        <v>0</v>
      </c>
      <c r="DH40" s="75">
        <f t="shared" si="71"/>
        <v>0</v>
      </c>
      <c r="DI40" s="75"/>
      <c r="DJ40" s="75">
        <f t="shared" si="72"/>
        <v>0</v>
      </c>
      <c r="DK40" s="75">
        <f t="shared" si="73"/>
        <v>0</v>
      </c>
      <c r="DL40" s="75">
        <f t="shared" si="74"/>
        <v>0</v>
      </c>
      <c r="DM40" s="75">
        <f t="shared" si="75"/>
        <v>0</v>
      </c>
      <c r="DN40" s="75">
        <f t="shared" si="76"/>
        <v>0</v>
      </c>
      <c r="DO40" s="75">
        <f t="shared" si="77"/>
        <v>0</v>
      </c>
      <c r="DP40" s="75">
        <f t="shared" si="78"/>
        <v>0</v>
      </c>
      <c r="DQ40" s="75"/>
      <c r="DR40" s="75">
        <f t="shared" si="79"/>
        <v>0</v>
      </c>
    </row>
    <row r="41" spans="1:122" ht="33" hidden="1" customHeight="1" x14ac:dyDescent="0.25">
      <c r="A41" s="226"/>
      <c r="B41" s="81"/>
      <c r="C41" s="82" t="s">
        <v>390</v>
      </c>
      <c r="D41" s="81" t="s">
        <v>389</v>
      </c>
      <c r="E41" s="97">
        <v>410</v>
      </c>
      <c r="F41" s="78" t="s">
        <v>214</v>
      </c>
      <c r="G41" s="228"/>
      <c r="H41" s="79">
        <f t="shared" si="47"/>
        <v>6500000</v>
      </c>
      <c r="I41" s="79">
        <f t="shared" si="48"/>
        <v>3500000</v>
      </c>
      <c r="J41" s="78" t="s">
        <v>388</v>
      </c>
      <c r="K41" s="78" t="s">
        <v>387</v>
      </c>
      <c r="L41" s="78" t="s">
        <v>386</v>
      </c>
      <c r="M41" s="75">
        <f t="shared" si="49"/>
        <v>10000000</v>
      </c>
      <c r="N41" s="75"/>
      <c r="O41" s="75"/>
      <c r="P41" s="75"/>
      <c r="Q41" s="75"/>
      <c r="R41" s="75"/>
      <c r="S41" s="75">
        <f>30000000-20000000</f>
        <v>10000000</v>
      </c>
      <c r="T41" s="75"/>
      <c r="U41" s="75"/>
      <c r="V41" s="75"/>
      <c r="W41" s="75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I41" s="25">
        <f t="shared" si="80"/>
        <v>1</v>
      </c>
      <c r="AJ41" s="75">
        <f t="shared" si="50"/>
        <v>10000000</v>
      </c>
      <c r="AK41" s="75"/>
      <c r="AL41" s="75"/>
      <c r="AM41" s="75"/>
      <c r="AN41" s="75"/>
      <c r="AO41" s="75"/>
      <c r="AP41" s="75">
        <f>+'[6]JUNIO 2015'!$O$956</f>
        <v>10000000</v>
      </c>
      <c r="AQ41" s="75"/>
      <c r="AR41" s="75"/>
      <c r="AS41" s="75"/>
      <c r="AT41" s="75"/>
      <c r="AU41" s="75"/>
      <c r="AV41" s="75"/>
      <c r="AW41" s="75"/>
      <c r="AX41" s="75"/>
      <c r="AY41" s="75"/>
      <c r="AZ41" s="75"/>
      <c r="BA41" s="75"/>
      <c r="BB41" s="75"/>
      <c r="BC41" s="75"/>
      <c r="BD41" s="75"/>
      <c r="BE41" s="25">
        <f t="shared" si="41"/>
        <v>0</v>
      </c>
      <c r="BF41" s="75">
        <f t="shared" si="51"/>
        <v>0</v>
      </c>
      <c r="BG41" s="75">
        <f t="shared" si="52"/>
        <v>0</v>
      </c>
      <c r="BH41" s="75"/>
      <c r="BI41" s="75">
        <f t="shared" si="82"/>
        <v>0</v>
      </c>
      <c r="BJ41" s="75">
        <f t="shared" si="83"/>
        <v>0</v>
      </c>
      <c r="BK41" s="75"/>
      <c r="BL41" s="75">
        <f t="shared" si="54"/>
        <v>0</v>
      </c>
      <c r="BM41" s="75">
        <f t="shared" si="55"/>
        <v>0</v>
      </c>
      <c r="BN41" s="75"/>
      <c r="BO41" s="75">
        <f>+V41-AS41</f>
        <v>0</v>
      </c>
      <c r="BP41" s="75">
        <f t="shared" si="56"/>
        <v>0</v>
      </c>
      <c r="BQ41" s="75">
        <f>+X41-AU41</f>
        <v>0</v>
      </c>
      <c r="BR41" s="75">
        <f t="shared" si="57"/>
        <v>0</v>
      </c>
      <c r="BS41" s="75">
        <f t="shared" si="58"/>
        <v>0</v>
      </c>
      <c r="BT41" s="75">
        <f t="shared" si="59"/>
        <v>0</v>
      </c>
      <c r="BU41" s="75">
        <f t="shared" si="60"/>
        <v>0</v>
      </c>
      <c r="BV41" s="75">
        <f t="shared" si="61"/>
        <v>0</v>
      </c>
      <c r="BW41" s="75">
        <f t="shared" si="62"/>
        <v>0</v>
      </c>
      <c r="BX41" s="75"/>
      <c r="BY41" s="75"/>
      <c r="BZ41" s="75">
        <f t="shared" si="63"/>
        <v>0</v>
      </c>
      <c r="CA41" s="25">
        <f t="shared" si="81"/>
        <v>0.65</v>
      </c>
      <c r="CB41" s="75">
        <f t="shared" si="64"/>
        <v>6500000</v>
      </c>
      <c r="CC41" s="75"/>
      <c r="CD41" s="75"/>
      <c r="CE41" s="75"/>
      <c r="CF41" s="75"/>
      <c r="CG41" s="75"/>
      <c r="CH41" s="75">
        <f>+'[2]JULIO 2015'!$H$1127</f>
        <v>6500000</v>
      </c>
      <c r="CI41" s="75"/>
      <c r="CJ41" s="75"/>
      <c r="CK41" s="75"/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121">
        <f t="shared" si="65"/>
        <v>0.35</v>
      </c>
      <c r="CX41" s="75">
        <f t="shared" si="66"/>
        <v>3500000</v>
      </c>
      <c r="CY41" s="75"/>
      <c r="CZ41" s="75"/>
      <c r="DA41" s="75"/>
      <c r="DB41" s="75"/>
      <c r="DC41" s="75"/>
      <c r="DD41" s="75">
        <f t="shared" si="68"/>
        <v>3500000</v>
      </c>
      <c r="DE41" s="75">
        <f t="shared" si="69"/>
        <v>0</v>
      </c>
      <c r="DF41" s="75"/>
      <c r="DG41" s="75">
        <f t="shared" si="70"/>
        <v>0</v>
      </c>
      <c r="DH41" s="75">
        <f t="shared" si="71"/>
        <v>0</v>
      </c>
      <c r="DI41" s="75"/>
      <c r="DJ41" s="75">
        <f t="shared" si="72"/>
        <v>0</v>
      </c>
      <c r="DK41" s="75">
        <f t="shared" si="73"/>
        <v>0</v>
      </c>
      <c r="DL41" s="75">
        <f t="shared" si="74"/>
        <v>0</v>
      </c>
      <c r="DM41" s="75">
        <f t="shared" si="75"/>
        <v>0</v>
      </c>
      <c r="DN41" s="75">
        <f t="shared" si="76"/>
        <v>0</v>
      </c>
      <c r="DO41" s="75">
        <f t="shared" si="77"/>
        <v>0</v>
      </c>
      <c r="DP41" s="75">
        <f t="shared" si="78"/>
        <v>0</v>
      </c>
      <c r="DQ41" s="75"/>
      <c r="DR41" s="75">
        <f t="shared" si="79"/>
        <v>0</v>
      </c>
    </row>
    <row r="42" spans="1:122" ht="28.5" hidden="1" customHeight="1" x14ac:dyDescent="0.25">
      <c r="A42" s="226"/>
      <c r="B42" s="81"/>
      <c r="C42" s="82" t="s">
        <v>385</v>
      </c>
      <c r="D42" s="81" t="s">
        <v>384</v>
      </c>
      <c r="E42" s="97">
        <v>410</v>
      </c>
      <c r="F42" s="78" t="s">
        <v>383</v>
      </c>
      <c r="G42" s="228"/>
      <c r="H42" s="79">
        <f t="shared" si="47"/>
        <v>3087000</v>
      </c>
      <c r="I42" s="79">
        <f t="shared" si="48"/>
        <v>47890063</v>
      </c>
      <c r="J42" s="78" t="s">
        <v>382</v>
      </c>
      <c r="K42" s="78" t="s">
        <v>381</v>
      </c>
      <c r="L42" s="78" t="s">
        <v>380</v>
      </c>
      <c r="M42" s="75">
        <f t="shared" si="49"/>
        <v>50977063</v>
      </c>
      <c r="N42" s="75"/>
      <c r="O42" s="75"/>
      <c r="P42" s="75"/>
      <c r="Q42" s="75"/>
      <c r="R42" s="75"/>
      <c r="S42" s="75">
        <v>50000000</v>
      </c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>
        <v>977063</v>
      </c>
      <c r="AI42" s="25">
        <f t="shared" si="80"/>
        <v>0.98083328182323881</v>
      </c>
      <c r="AJ42" s="75">
        <f t="shared" si="50"/>
        <v>50000000</v>
      </c>
      <c r="AK42" s="75"/>
      <c r="AL42" s="75"/>
      <c r="AM42" s="75"/>
      <c r="AN42" s="75"/>
      <c r="AO42" s="75"/>
      <c r="AP42" s="75">
        <f>+'[8]FEBRERO 2015'!$N$511</f>
        <v>50000000</v>
      </c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25">
        <f t="shared" si="41"/>
        <v>1.9166718176761188E-2</v>
      </c>
      <c r="BF42" s="75">
        <f t="shared" si="51"/>
        <v>977063</v>
      </c>
      <c r="BG42" s="75">
        <f t="shared" si="52"/>
        <v>0</v>
      </c>
      <c r="BH42" s="75"/>
      <c r="BI42" s="75">
        <f t="shared" si="82"/>
        <v>0</v>
      </c>
      <c r="BJ42" s="75">
        <f t="shared" si="83"/>
        <v>0</v>
      </c>
      <c r="BK42" s="75"/>
      <c r="BL42" s="75">
        <f t="shared" si="54"/>
        <v>0</v>
      </c>
      <c r="BM42" s="75">
        <f t="shared" si="55"/>
        <v>0</v>
      </c>
      <c r="BN42" s="75"/>
      <c r="BO42" s="75">
        <f>+V42-AS42</f>
        <v>0</v>
      </c>
      <c r="BP42" s="75">
        <f t="shared" si="56"/>
        <v>0</v>
      </c>
      <c r="BQ42" s="75">
        <f>+X42-AU42</f>
        <v>0</v>
      </c>
      <c r="BR42" s="75">
        <f t="shared" si="57"/>
        <v>0</v>
      </c>
      <c r="BS42" s="75">
        <f t="shared" si="58"/>
        <v>0</v>
      </c>
      <c r="BT42" s="75">
        <f t="shared" si="59"/>
        <v>0</v>
      </c>
      <c r="BU42" s="75">
        <f t="shared" si="60"/>
        <v>0</v>
      </c>
      <c r="BV42" s="75">
        <f t="shared" si="61"/>
        <v>0</v>
      </c>
      <c r="BW42" s="75">
        <f t="shared" si="62"/>
        <v>0</v>
      </c>
      <c r="BX42" s="75"/>
      <c r="BY42" s="75"/>
      <c r="BZ42" s="75">
        <f t="shared" si="63"/>
        <v>977063</v>
      </c>
      <c r="CA42" s="25">
        <f t="shared" si="81"/>
        <v>6.0556646819766767E-2</v>
      </c>
      <c r="CB42" s="75">
        <f t="shared" si="64"/>
        <v>3087000</v>
      </c>
      <c r="CC42" s="75"/>
      <c r="CD42" s="75"/>
      <c r="CE42" s="75"/>
      <c r="CF42" s="75"/>
      <c r="CG42" s="75"/>
      <c r="CH42" s="75">
        <f>+'[1]AGOSTO 2015'!$H$1279</f>
        <v>3087000</v>
      </c>
      <c r="CI42" s="75"/>
      <c r="CJ42" s="75"/>
      <c r="CK42" s="75"/>
      <c r="CL42" s="75"/>
      <c r="CM42" s="75"/>
      <c r="CN42" s="75"/>
      <c r="CO42" s="75"/>
      <c r="CP42" s="75"/>
      <c r="CQ42" s="75"/>
      <c r="CR42" s="75"/>
      <c r="CS42" s="75"/>
      <c r="CT42" s="75"/>
      <c r="CU42" s="75"/>
      <c r="CV42" s="75"/>
      <c r="CW42" s="121">
        <f t="shared" si="65"/>
        <v>0.9394433531802332</v>
      </c>
      <c r="CX42" s="75">
        <f t="shared" si="66"/>
        <v>47890063</v>
      </c>
      <c r="CY42" s="75"/>
      <c r="CZ42" s="75"/>
      <c r="DA42" s="75"/>
      <c r="DB42" s="75"/>
      <c r="DC42" s="75"/>
      <c r="DD42" s="75">
        <f t="shared" si="68"/>
        <v>46913000</v>
      </c>
      <c r="DE42" s="75">
        <f t="shared" si="69"/>
        <v>0</v>
      </c>
      <c r="DF42" s="75"/>
      <c r="DG42" s="75">
        <f t="shared" si="70"/>
        <v>0</v>
      </c>
      <c r="DH42" s="75">
        <f t="shared" si="71"/>
        <v>0</v>
      </c>
      <c r="DI42" s="75"/>
      <c r="DJ42" s="75">
        <f t="shared" si="72"/>
        <v>0</v>
      </c>
      <c r="DK42" s="75">
        <f t="shared" si="73"/>
        <v>0</v>
      </c>
      <c r="DL42" s="75">
        <f t="shared" si="74"/>
        <v>0</v>
      </c>
      <c r="DM42" s="75">
        <f t="shared" si="75"/>
        <v>0</v>
      </c>
      <c r="DN42" s="75">
        <f t="shared" si="76"/>
        <v>0</v>
      </c>
      <c r="DO42" s="75">
        <f t="shared" si="77"/>
        <v>0</v>
      </c>
      <c r="DP42" s="75">
        <f t="shared" si="78"/>
        <v>0</v>
      </c>
      <c r="DQ42" s="75"/>
      <c r="DR42" s="75">
        <f t="shared" si="79"/>
        <v>977063</v>
      </c>
    </row>
    <row r="43" spans="1:122" ht="33.75" hidden="1" customHeight="1" x14ac:dyDescent="0.25">
      <c r="A43" s="226"/>
      <c r="B43" s="81"/>
      <c r="C43" s="82" t="s">
        <v>379</v>
      </c>
      <c r="D43" s="81" t="s">
        <v>378</v>
      </c>
      <c r="E43" s="97">
        <v>410</v>
      </c>
      <c r="F43" s="78" t="s">
        <v>214</v>
      </c>
      <c r="G43" s="229"/>
      <c r="H43" s="79">
        <f t="shared" si="47"/>
        <v>68403590</v>
      </c>
      <c r="I43" s="79">
        <f t="shared" si="48"/>
        <v>1596410</v>
      </c>
      <c r="J43" s="78" t="s">
        <v>377</v>
      </c>
      <c r="K43" s="78" t="s">
        <v>376</v>
      </c>
      <c r="L43" s="78" t="s">
        <v>375</v>
      </c>
      <c r="M43" s="75">
        <f t="shared" si="49"/>
        <v>70000000</v>
      </c>
      <c r="N43" s="75"/>
      <c r="O43" s="75"/>
      <c r="P43" s="75"/>
      <c r="Q43" s="75"/>
      <c r="R43" s="75"/>
      <c r="S43" s="75">
        <f>50000000+20000000</f>
        <v>70000000</v>
      </c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I43" s="25">
        <f t="shared" si="80"/>
        <v>1</v>
      </c>
      <c r="AJ43" s="75">
        <f t="shared" si="50"/>
        <v>70000000</v>
      </c>
      <c r="AK43" s="75"/>
      <c r="AL43" s="75"/>
      <c r="AM43" s="75"/>
      <c r="AN43" s="75"/>
      <c r="AO43" s="75"/>
      <c r="AP43" s="75">
        <f>+'[6]JUNIO 2015'!$O$970</f>
        <v>70000000</v>
      </c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25">
        <f t="shared" si="41"/>
        <v>0</v>
      </c>
      <c r="BF43" s="75">
        <f t="shared" si="51"/>
        <v>0</v>
      </c>
      <c r="BG43" s="75">
        <f t="shared" si="52"/>
        <v>0</v>
      </c>
      <c r="BH43" s="75"/>
      <c r="BI43" s="75">
        <f t="shared" si="82"/>
        <v>0</v>
      </c>
      <c r="BJ43" s="75">
        <f t="shared" si="83"/>
        <v>0</v>
      </c>
      <c r="BK43" s="75"/>
      <c r="BL43" s="75">
        <f t="shared" si="54"/>
        <v>0</v>
      </c>
      <c r="BM43" s="75">
        <f t="shared" si="55"/>
        <v>0</v>
      </c>
      <c r="BN43" s="75"/>
      <c r="BO43" s="75"/>
      <c r="BP43" s="75"/>
      <c r="BQ43" s="75"/>
      <c r="BR43" s="75">
        <f t="shared" si="57"/>
        <v>0</v>
      </c>
      <c r="BS43" s="75">
        <f t="shared" si="58"/>
        <v>0</v>
      </c>
      <c r="BT43" s="75">
        <f t="shared" si="59"/>
        <v>0</v>
      </c>
      <c r="BU43" s="75">
        <f t="shared" si="60"/>
        <v>0</v>
      </c>
      <c r="BV43" s="75">
        <f t="shared" si="61"/>
        <v>0</v>
      </c>
      <c r="BW43" s="75">
        <f t="shared" si="62"/>
        <v>0</v>
      </c>
      <c r="BX43" s="75"/>
      <c r="BY43" s="75"/>
      <c r="BZ43" s="75">
        <f t="shared" si="63"/>
        <v>0</v>
      </c>
      <c r="CA43" s="25">
        <f t="shared" si="81"/>
        <v>0.9771941428571429</v>
      </c>
      <c r="CB43" s="75">
        <f t="shared" si="64"/>
        <v>68403590</v>
      </c>
      <c r="CC43" s="75"/>
      <c r="CD43" s="75"/>
      <c r="CE43" s="75"/>
      <c r="CF43" s="75"/>
      <c r="CG43" s="75"/>
      <c r="CH43" s="75">
        <f>+'[1]AGOSTO 2015'!$H$1286</f>
        <v>68403590</v>
      </c>
      <c r="CI43" s="75"/>
      <c r="CJ43" s="75"/>
      <c r="CK43" s="75"/>
      <c r="CL43" s="75"/>
      <c r="CM43" s="75"/>
      <c r="CN43" s="75"/>
      <c r="CO43" s="75"/>
      <c r="CP43" s="75"/>
      <c r="CQ43" s="75"/>
      <c r="CR43" s="75"/>
      <c r="CS43" s="75"/>
      <c r="CT43" s="75"/>
      <c r="CU43" s="75"/>
      <c r="CV43" s="75"/>
      <c r="CW43" s="121">
        <f t="shared" si="65"/>
        <v>2.28058571428571E-2</v>
      </c>
      <c r="CX43" s="75">
        <f t="shared" si="66"/>
        <v>1596410</v>
      </c>
      <c r="CY43" s="75"/>
      <c r="CZ43" s="75"/>
      <c r="DA43" s="75"/>
      <c r="DB43" s="75"/>
      <c r="DC43" s="75"/>
      <c r="DD43" s="75">
        <f t="shared" si="68"/>
        <v>1596410</v>
      </c>
      <c r="DE43" s="75">
        <f t="shared" si="69"/>
        <v>0</v>
      </c>
      <c r="DF43" s="75"/>
      <c r="DG43" s="75">
        <f t="shared" si="70"/>
        <v>0</v>
      </c>
      <c r="DH43" s="75">
        <f t="shared" si="71"/>
        <v>0</v>
      </c>
      <c r="DI43" s="75"/>
      <c r="DJ43" s="75">
        <f t="shared" si="72"/>
        <v>0</v>
      </c>
      <c r="DK43" s="75">
        <f t="shared" si="73"/>
        <v>0</v>
      </c>
      <c r="DL43" s="75">
        <f t="shared" si="74"/>
        <v>0</v>
      </c>
      <c r="DM43" s="75">
        <f t="shared" si="75"/>
        <v>0</v>
      </c>
      <c r="DN43" s="75">
        <f t="shared" si="76"/>
        <v>0</v>
      </c>
      <c r="DO43" s="75">
        <f t="shared" si="77"/>
        <v>0</v>
      </c>
      <c r="DP43" s="75">
        <f t="shared" si="78"/>
        <v>0</v>
      </c>
      <c r="DQ43" s="75"/>
      <c r="DR43" s="75">
        <f t="shared" si="79"/>
        <v>0</v>
      </c>
    </row>
    <row r="44" spans="1:122" ht="35.25" hidden="1" customHeight="1" x14ac:dyDescent="0.25">
      <c r="A44" s="226"/>
      <c r="B44" s="128" t="s">
        <v>374</v>
      </c>
      <c r="C44" s="82" t="s">
        <v>373</v>
      </c>
      <c r="D44" s="81" t="s">
        <v>372</v>
      </c>
      <c r="E44" s="127">
        <v>410</v>
      </c>
      <c r="F44" s="78" t="s">
        <v>214</v>
      </c>
      <c r="G44" s="227">
        <v>303000000</v>
      </c>
      <c r="H44" s="79">
        <f t="shared" si="47"/>
        <v>29457678</v>
      </c>
      <c r="I44" s="79">
        <f t="shared" si="48"/>
        <v>24964993</v>
      </c>
      <c r="J44" s="78" t="s">
        <v>371</v>
      </c>
      <c r="K44" s="78" t="s">
        <v>370</v>
      </c>
      <c r="L44" s="78" t="s">
        <v>369</v>
      </c>
      <c r="M44" s="75">
        <f t="shared" si="49"/>
        <v>54422671</v>
      </c>
      <c r="N44" s="75"/>
      <c r="O44" s="75">
        <f>80000000-69189100</f>
        <v>10810900</v>
      </c>
      <c r="P44" s="75"/>
      <c r="Q44" s="75"/>
      <c r="R44" s="75"/>
      <c r="S44" s="75"/>
      <c r="T44" s="75">
        <f>20000000</f>
        <v>20000000</v>
      </c>
      <c r="U44" s="75"/>
      <c r="V44" s="75"/>
      <c r="W44" s="75"/>
      <c r="X44" s="75"/>
      <c r="Y44" s="75"/>
      <c r="Z44" s="75"/>
      <c r="AA44" s="75"/>
      <c r="AB44" s="75"/>
      <c r="AC44" s="75">
        <v>23611771</v>
      </c>
      <c r="AD44" s="75"/>
      <c r="AE44" s="75"/>
      <c r="AF44" s="75"/>
      <c r="AG44" s="75"/>
      <c r="AI44" s="25">
        <f t="shared" si="80"/>
        <v>0.97676078779742359</v>
      </c>
      <c r="AJ44" s="75">
        <f t="shared" si="50"/>
        <v>53157931</v>
      </c>
      <c r="AK44" s="75"/>
      <c r="AL44" s="75">
        <f>+'[6]JUNIO 2015'!$K$1009</f>
        <v>9546220</v>
      </c>
      <c r="AM44" s="75"/>
      <c r="AN44" s="75"/>
      <c r="AO44" s="75"/>
      <c r="AP44" s="75"/>
      <c r="AQ44" s="75">
        <f>+'[6]JUNIO 2015'!$P$1009</f>
        <v>20000000</v>
      </c>
      <c r="AR44" s="75"/>
      <c r="AS44" s="75"/>
      <c r="AT44" s="75"/>
      <c r="AU44" s="75"/>
      <c r="AV44" s="75"/>
      <c r="AW44" s="75"/>
      <c r="AX44" s="75"/>
      <c r="AY44" s="75"/>
      <c r="AZ44" s="75">
        <f>+'[2]JULIO 2015'!$Y$1192</f>
        <v>23611711</v>
      </c>
      <c r="BA44" s="75"/>
      <c r="BB44" s="75"/>
      <c r="BC44" s="75"/>
      <c r="BD44" s="75"/>
      <c r="BE44" s="25">
        <f t="shared" si="41"/>
        <v>2.3239212202576409E-2</v>
      </c>
      <c r="BF44" s="75">
        <f t="shared" si="51"/>
        <v>1264740</v>
      </c>
      <c r="BG44" s="75">
        <f t="shared" si="52"/>
        <v>0</v>
      </c>
      <c r="BH44" s="75">
        <f>O44-AL44</f>
        <v>1264680</v>
      </c>
      <c r="BI44" s="75">
        <f t="shared" si="82"/>
        <v>0</v>
      </c>
      <c r="BJ44" s="75">
        <f t="shared" si="83"/>
        <v>0</v>
      </c>
      <c r="BK44" s="75"/>
      <c r="BL44" s="75">
        <f t="shared" si="54"/>
        <v>0</v>
      </c>
      <c r="BM44" s="75">
        <f t="shared" si="55"/>
        <v>0</v>
      </c>
      <c r="BN44" s="75"/>
      <c r="BO44" s="75">
        <f t="shared" ref="BO44:BQ48" si="84">+V44-AS44</f>
        <v>0</v>
      </c>
      <c r="BP44" s="75">
        <f t="shared" si="84"/>
        <v>0</v>
      </c>
      <c r="BQ44" s="75">
        <f t="shared" si="84"/>
        <v>0</v>
      </c>
      <c r="BR44" s="75">
        <f t="shared" si="57"/>
        <v>0</v>
      </c>
      <c r="BS44" s="75">
        <f t="shared" si="58"/>
        <v>0</v>
      </c>
      <c r="BT44" s="75">
        <f t="shared" si="59"/>
        <v>0</v>
      </c>
      <c r="BU44" s="75">
        <f t="shared" si="60"/>
        <v>0</v>
      </c>
      <c r="BV44" s="75">
        <f t="shared" si="61"/>
        <v>60</v>
      </c>
      <c r="BW44" s="75">
        <f t="shared" si="62"/>
        <v>0</v>
      </c>
      <c r="BX44" s="75"/>
      <c r="BY44" s="75"/>
      <c r="BZ44" s="75">
        <f t="shared" si="63"/>
        <v>0</v>
      </c>
      <c r="CA44" s="25">
        <f t="shared" si="81"/>
        <v>0.54127585909923459</v>
      </c>
      <c r="CB44" s="75">
        <f t="shared" si="64"/>
        <v>29457678</v>
      </c>
      <c r="CC44" s="75"/>
      <c r="CD44" s="75">
        <f>+'[6]JUNIO 2015'!$H$1010</f>
        <v>9546220</v>
      </c>
      <c r="CE44" s="75"/>
      <c r="CF44" s="75"/>
      <c r="CG44" s="75"/>
      <c r="CH44" s="75"/>
      <c r="CI44" s="75">
        <f>+'[1]AGOSTO 2015'!$H$1349</f>
        <v>19911458</v>
      </c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121">
        <f t="shared" si="65"/>
        <v>0.45872414090076541</v>
      </c>
      <c r="CX44" s="75">
        <f t="shared" si="66"/>
        <v>24964993</v>
      </c>
      <c r="CY44" s="75"/>
      <c r="CZ44" s="75">
        <f t="shared" ref="CZ44:DB45" si="85">O44-CD44</f>
        <v>1264680</v>
      </c>
      <c r="DA44" s="75">
        <f t="shared" si="85"/>
        <v>0</v>
      </c>
      <c r="DB44" s="75">
        <f t="shared" si="85"/>
        <v>0</v>
      </c>
      <c r="DC44" s="75"/>
      <c r="DD44" s="75">
        <f t="shared" si="68"/>
        <v>0</v>
      </c>
      <c r="DE44" s="75">
        <f t="shared" si="69"/>
        <v>88542</v>
      </c>
      <c r="DF44" s="75"/>
      <c r="DG44" s="75">
        <f t="shared" si="70"/>
        <v>0</v>
      </c>
      <c r="DH44" s="75">
        <f t="shared" si="71"/>
        <v>0</v>
      </c>
      <c r="DI44" s="75"/>
      <c r="DJ44" s="75">
        <f t="shared" si="72"/>
        <v>0</v>
      </c>
      <c r="DK44" s="75">
        <f t="shared" si="73"/>
        <v>0</v>
      </c>
      <c r="DL44" s="75">
        <f t="shared" si="74"/>
        <v>0</v>
      </c>
      <c r="DM44" s="75">
        <f t="shared" si="75"/>
        <v>0</v>
      </c>
      <c r="DN44" s="75">
        <f t="shared" si="76"/>
        <v>23611771</v>
      </c>
      <c r="DO44" s="75">
        <f t="shared" si="77"/>
        <v>0</v>
      </c>
      <c r="DP44" s="75">
        <f t="shared" si="78"/>
        <v>0</v>
      </c>
      <c r="DQ44" s="75"/>
      <c r="DR44" s="75">
        <f t="shared" si="79"/>
        <v>0</v>
      </c>
    </row>
    <row r="45" spans="1:122" ht="35.25" hidden="1" customHeight="1" x14ac:dyDescent="0.25">
      <c r="A45" s="226"/>
      <c r="B45" s="81"/>
      <c r="C45" s="82" t="s">
        <v>368</v>
      </c>
      <c r="D45" s="126" t="s">
        <v>367</v>
      </c>
      <c r="E45" s="97">
        <v>410</v>
      </c>
      <c r="F45" s="78" t="s">
        <v>214</v>
      </c>
      <c r="G45" s="228"/>
      <c r="H45" s="79">
        <f t="shared" si="47"/>
        <v>14950724</v>
      </c>
      <c r="I45" s="79">
        <f t="shared" si="48"/>
        <v>32131206</v>
      </c>
      <c r="J45" s="78" t="s">
        <v>366</v>
      </c>
      <c r="K45" s="78" t="s">
        <v>365</v>
      </c>
      <c r="L45" s="78" t="s">
        <v>364</v>
      </c>
      <c r="M45" s="75">
        <f t="shared" si="49"/>
        <v>47081930</v>
      </c>
      <c r="N45" s="75"/>
      <c r="O45" s="75">
        <f>64000000-61918070</f>
        <v>2081930</v>
      </c>
      <c r="P45" s="75"/>
      <c r="Q45" s="75"/>
      <c r="R45" s="75"/>
      <c r="S45" s="75"/>
      <c r="T45" s="75">
        <f>20000000</f>
        <v>20000000</v>
      </c>
      <c r="U45" s="75"/>
      <c r="V45" s="75"/>
      <c r="W45" s="75"/>
      <c r="X45" s="75"/>
      <c r="Y45" s="75"/>
      <c r="Z45" s="75"/>
      <c r="AA45" s="75"/>
      <c r="AB45" s="75"/>
      <c r="AC45" s="75">
        <v>25000000</v>
      </c>
      <c r="AD45" s="75"/>
      <c r="AE45" s="75"/>
      <c r="AF45" s="75"/>
      <c r="AG45" s="75"/>
      <c r="AI45" s="25">
        <f t="shared" si="80"/>
        <v>1</v>
      </c>
      <c r="AJ45" s="75">
        <f t="shared" si="50"/>
        <v>47081930</v>
      </c>
      <c r="AK45" s="75"/>
      <c r="AL45" s="75">
        <f>+'[6]JUNIO 2015'!$K$1023</f>
        <v>2081930</v>
      </c>
      <c r="AM45" s="75"/>
      <c r="AN45" s="75"/>
      <c r="AO45" s="75"/>
      <c r="AP45" s="75"/>
      <c r="AQ45" s="75">
        <f>+'[6]JUNIO 2015'!$P$1023</f>
        <v>20000000</v>
      </c>
      <c r="AR45" s="75"/>
      <c r="AS45" s="75"/>
      <c r="AT45" s="75"/>
      <c r="AU45" s="75"/>
      <c r="AV45" s="75"/>
      <c r="AW45" s="75"/>
      <c r="AX45" s="75"/>
      <c r="AY45" s="75"/>
      <c r="AZ45" s="75">
        <f>+'[2]JULIO 2015'!$Y$1215</f>
        <v>25000000</v>
      </c>
      <c r="BA45" s="75"/>
      <c r="BB45" s="75"/>
      <c r="BC45" s="75"/>
      <c r="BD45" s="75"/>
      <c r="BE45" s="25">
        <f t="shared" si="41"/>
        <v>0</v>
      </c>
      <c r="BF45" s="75">
        <f t="shared" si="51"/>
        <v>0</v>
      </c>
      <c r="BG45" s="75">
        <f t="shared" si="52"/>
        <v>0</v>
      </c>
      <c r="BH45" s="75">
        <f>O45-AL45</f>
        <v>0</v>
      </c>
      <c r="BI45" s="75">
        <f t="shared" si="82"/>
        <v>0</v>
      </c>
      <c r="BJ45" s="75">
        <f t="shared" si="83"/>
        <v>0</v>
      </c>
      <c r="BK45" s="75"/>
      <c r="BL45" s="75">
        <f t="shared" si="54"/>
        <v>0</v>
      </c>
      <c r="BM45" s="75">
        <f t="shared" si="55"/>
        <v>0</v>
      </c>
      <c r="BN45" s="75"/>
      <c r="BO45" s="75">
        <f t="shared" si="84"/>
        <v>0</v>
      </c>
      <c r="BP45" s="75">
        <f t="shared" si="84"/>
        <v>0</v>
      </c>
      <c r="BQ45" s="75">
        <f t="shared" si="84"/>
        <v>0</v>
      </c>
      <c r="BR45" s="75">
        <f t="shared" si="57"/>
        <v>0</v>
      </c>
      <c r="BS45" s="75">
        <f t="shared" si="58"/>
        <v>0</v>
      </c>
      <c r="BT45" s="75">
        <f t="shared" si="59"/>
        <v>0</v>
      </c>
      <c r="BU45" s="75">
        <f t="shared" si="60"/>
        <v>0</v>
      </c>
      <c r="BV45" s="75">
        <f t="shared" si="61"/>
        <v>0</v>
      </c>
      <c r="BW45" s="75">
        <f t="shared" si="62"/>
        <v>0</v>
      </c>
      <c r="BX45" s="75"/>
      <c r="BY45" s="75"/>
      <c r="BZ45" s="75">
        <f t="shared" si="63"/>
        <v>0</v>
      </c>
      <c r="CA45" s="25">
        <f t="shared" si="81"/>
        <v>0.31754696547061684</v>
      </c>
      <c r="CB45" s="75">
        <f t="shared" si="64"/>
        <v>14950724</v>
      </c>
      <c r="CC45" s="75"/>
      <c r="CD45" s="75">
        <f>+'[7]MAYO 2015'!$H$858</f>
        <v>2081930</v>
      </c>
      <c r="CE45" s="75"/>
      <c r="CF45" s="75"/>
      <c r="CG45" s="75"/>
      <c r="CH45" s="75"/>
      <c r="CI45" s="75">
        <f>+'[1]AGOSTO 2015'!$H$1370</f>
        <v>12868794</v>
      </c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121">
        <f t="shared" si="65"/>
        <v>0.68245303452938311</v>
      </c>
      <c r="CX45" s="75">
        <f t="shared" si="66"/>
        <v>32131206</v>
      </c>
      <c r="CY45" s="75"/>
      <c r="CZ45" s="75">
        <f t="shared" si="85"/>
        <v>0</v>
      </c>
      <c r="DA45" s="75">
        <f t="shared" si="85"/>
        <v>0</v>
      </c>
      <c r="DB45" s="75">
        <f t="shared" si="85"/>
        <v>0</v>
      </c>
      <c r="DC45" s="75"/>
      <c r="DD45" s="75">
        <f t="shared" si="68"/>
        <v>0</v>
      </c>
      <c r="DE45" s="75">
        <f t="shared" si="69"/>
        <v>7131206</v>
      </c>
      <c r="DF45" s="75"/>
      <c r="DG45" s="75">
        <f t="shared" si="70"/>
        <v>0</v>
      </c>
      <c r="DH45" s="75">
        <f t="shared" si="71"/>
        <v>0</v>
      </c>
      <c r="DI45" s="75"/>
      <c r="DJ45" s="75">
        <f t="shared" si="72"/>
        <v>0</v>
      </c>
      <c r="DK45" s="75">
        <f t="shared" si="73"/>
        <v>0</v>
      </c>
      <c r="DL45" s="75">
        <f t="shared" si="74"/>
        <v>0</v>
      </c>
      <c r="DM45" s="75">
        <f t="shared" si="75"/>
        <v>0</v>
      </c>
      <c r="DN45" s="75">
        <f t="shared" si="76"/>
        <v>25000000</v>
      </c>
      <c r="DO45" s="75">
        <f t="shared" si="77"/>
        <v>0</v>
      </c>
      <c r="DP45" s="75">
        <f t="shared" si="78"/>
        <v>0</v>
      </c>
      <c r="DQ45" s="75"/>
      <c r="DR45" s="75">
        <f t="shared" si="79"/>
        <v>0</v>
      </c>
    </row>
    <row r="46" spans="1:122" ht="32.25" hidden="1" customHeight="1" x14ac:dyDescent="0.25">
      <c r="A46" s="226"/>
      <c r="B46" s="81"/>
      <c r="C46" s="82" t="s">
        <v>363</v>
      </c>
      <c r="D46" s="81" t="s">
        <v>362</v>
      </c>
      <c r="E46" s="97">
        <v>410</v>
      </c>
      <c r="F46" s="78" t="s">
        <v>74</v>
      </c>
      <c r="G46" s="228"/>
      <c r="H46" s="79">
        <f t="shared" si="47"/>
        <v>3028000</v>
      </c>
      <c r="I46" s="79">
        <f t="shared" si="48"/>
        <v>4972000</v>
      </c>
      <c r="J46" s="78" t="s">
        <v>361</v>
      </c>
      <c r="K46" s="78" t="s">
        <v>360</v>
      </c>
      <c r="L46" s="78" t="s">
        <v>359</v>
      </c>
      <c r="M46" s="75">
        <f t="shared" si="49"/>
        <v>8000000</v>
      </c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>
        <f>3000000+5000000</f>
        <v>8000000</v>
      </c>
      <c r="AI46" s="25">
        <f t="shared" si="80"/>
        <v>1</v>
      </c>
      <c r="AJ46" s="75">
        <f t="shared" si="50"/>
        <v>8000000</v>
      </c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>
        <f>+'[2]JULIO 2015'!$G$1233</f>
        <v>8000000</v>
      </c>
      <c r="BE46" s="25">
        <f t="shared" si="41"/>
        <v>0</v>
      </c>
      <c r="BF46" s="75">
        <f t="shared" si="51"/>
        <v>0</v>
      </c>
      <c r="BG46" s="75">
        <f t="shared" si="52"/>
        <v>0</v>
      </c>
      <c r="BH46" s="75"/>
      <c r="BI46" s="75">
        <f t="shared" si="82"/>
        <v>0</v>
      </c>
      <c r="BJ46" s="75">
        <f t="shared" si="83"/>
        <v>0</v>
      </c>
      <c r="BK46" s="75"/>
      <c r="BL46" s="75">
        <f t="shared" si="54"/>
        <v>0</v>
      </c>
      <c r="BM46" s="75">
        <f t="shared" si="55"/>
        <v>0</v>
      </c>
      <c r="BN46" s="75"/>
      <c r="BO46" s="75">
        <f t="shared" si="84"/>
        <v>0</v>
      </c>
      <c r="BP46" s="75">
        <f t="shared" si="84"/>
        <v>0</v>
      </c>
      <c r="BQ46" s="75">
        <f t="shared" si="84"/>
        <v>0</v>
      </c>
      <c r="BR46" s="75">
        <f t="shared" si="57"/>
        <v>0</v>
      </c>
      <c r="BS46" s="75">
        <f t="shared" si="58"/>
        <v>0</v>
      </c>
      <c r="BT46" s="75">
        <f t="shared" si="59"/>
        <v>0</v>
      </c>
      <c r="BU46" s="75">
        <f t="shared" si="60"/>
        <v>0</v>
      </c>
      <c r="BV46" s="75">
        <f t="shared" si="61"/>
        <v>0</v>
      </c>
      <c r="BW46" s="75">
        <f t="shared" si="62"/>
        <v>0</v>
      </c>
      <c r="BX46" s="75"/>
      <c r="BY46" s="75"/>
      <c r="BZ46" s="75">
        <f t="shared" si="63"/>
        <v>0</v>
      </c>
      <c r="CA46" s="25">
        <f t="shared" si="81"/>
        <v>0.3785</v>
      </c>
      <c r="CB46" s="75">
        <f t="shared" si="64"/>
        <v>3028000</v>
      </c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CV46" s="75">
        <f>+'[1]AGOSTO 2015'!$H$1393+'[1]AGOSTO 2015'!$H$1401</f>
        <v>3028000</v>
      </c>
      <c r="CW46" s="121">
        <f t="shared" si="65"/>
        <v>0.62149999999999994</v>
      </c>
      <c r="CX46" s="75">
        <f t="shared" si="66"/>
        <v>4972000</v>
      </c>
      <c r="CY46" s="75"/>
      <c r="CZ46" s="75"/>
      <c r="DA46" s="75"/>
      <c r="DB46" s="75">
        <f t="shared" ref="DB46:DB58" si="86">Q46-CF46</f>
        <v>0</v>
      </c>
      <c r="DC46" s="75"/>
      <c r="DD46" s="75">
        <f t="shared" si="68"/>
        <v>0</v>
      </c>
      <c r="DE46" s="75">
        <f t="shared" si="69"/>
        <v>0</v>
      </c>
      <c r="DF46" s="75"/>
      <c r="DG46" s="75">
        <f t="shared" si="70"/>
        <v>0</v>
      </c>
      <c r="DH46" s="75">
        <f t="shared" si="71"/>
        <v>0</v>
      </c>
      <c r="DI46" s="75"/>
      <c r="DJ46" s="75">
        <f t="shared" si="72"/>
        <v>0</v>
      </c>
      <c r="DK46" s="75">
        <f t="shared" si="73"/>
        <v>0</v>
      </c>
      <c r="DL46" s="75">
        <f t="shared" si="74"/>
        <v>0</v>
      </c>
      <c r="DM46" s="75">
        <f t="shared" si="75"/>
        <v>0</v>
      </c>
      <c r="DN46" s="75">
        <f t="shared" si="76"/>
        <v>0</v>
      </c>
      <c r="DO46" s="75">
        <f t="shared" si="77"/>
        <v>0</v>
      </c>
      <c r="DP46" s="75">
        <f t="shared" si="78"/>
        <v>0</v>
      </c>
      <c r="DQ46" s="75"/>
      <c r="DR46" s="75">
        <f t="shared" si="79"/>
        <v>4972000</v>
      </c>
    </row>
    <row r="47" spans="1:122" ht="41.25" hidden="1" customHeight="1" x14ac:dyDescent="0.25">
      <c r="A47" s="226"/>
      <c r="B47" s="81"/>
      <c r="C47" s="82" t="s">
        <v>358</v>
      </c>
      <c r="D47" s="81" t="s">
        <v>357</v>
      </c>
      <c r="E47" s="97">
        <v>410</v>
      </c>
      <c r="F47" s="78" t="s">
        <v>214</v>
      </c>
      <c r="G47" s="229"/>
      <c r="H47" s="79">
        <f t="shared" si="47"/>
        <v>142910666</v>
      </c>
      <c r="I47" s="79">
        <f t="shared" si="48"/>
        <v>3089334</v>
      </c>
      <c r="J47" s="78"/>
      <c r="K47" s="78"/>
      <c r="L47" s="78"/>
      <c r="M47" s="75">
        <f t="shared" si="49"/>
        <v>146000000</v>
      </c>
      <c r="N47" s="75"/>
      <c r="O47" s="75">
        <f>98670877-98670877</f>
        <v>0</v>
      </c>
      <c r="P47" s="75">
        <v>98670877</v>
      </c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>
        <f>57329123-10000000</f>
        <v>47329123</v>
      </c>
      <c r="AB47" s="75"/>
      <c r="AC47" s="75"/>
      <c r="AD47" s="75"/>
      <c r="AE47" s="75"/>
      <c r="AF47" s="75"/>
      <c r="AG47" s="75"/>
      <c r="AI47" s="25">
        <f t="shared" si="80"/>
        <v>1</v>
      </c>
      <c r="AJ47" s="75">
        <f t="shared" si="50"/>
        <v>146000000</v>
      </c>
      <c r="AK47" s="75"/>
      <c r="AL47" s="75"/>
      <c r="AM47" s="75">
        <v>98670877</v>
      </c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>
        <f>+'[4]MARZO 2015'!$V$700-10000000</f>
        <v>47329123</v>
      </c>
      <c r="AY47" s="75"/>
      <c r="AZ47" s="75"/>
      <c r="BA47" s="75"/>
      <c r="BB47" s="75"/>
      <c r="BC47" s="75"/>
      <c r="BD47" s="75"/>
      <c r="BE47" s="25">
        <f t="shared" si="41"/>
        <v>0</v>
      </c>
      <c r="BF47" s="75">
        <f t="shared" si="51"/>
        <v>0</v>
      </c>
      <c r="BG47" s="75">
        <f t="shared" si="52"/>
        <v>0</v>
      </c>
      <c r="BH47" s="75">
        <f t="shared" ref="BH47:BH56" si="87">O47-AL47</f>
        <v>0</v>
      </c>
      <c r="BI47" s="75">
        <f t="shared" si="82"/>
        <v>0</v>
      </c>
      <c r="BJ47" s="75">
        <f t="shared" si="83"/>
        <v>0</v>
      </c>
      <c r="BK47" s="75"/>
      <c r="BL47" s="75">
        <f t="shared" si="54"/>
        <v>0</v>
      </c>
      <c r="BM47" s="75">
        <f t="shared" si="55"/>
        <v>0</v>
      </c>
      <c r="BN47" s="75"/>
      <c r="BO47" s="75">
        <f t="shared" si="84"/>
        <v>0</v>
      </c>
      <c r="BP47" s="75">
        <f t="shared" si="84"/>
        <v>0</v>
      </c>
      <c r="BQ47" s="75">
        <f t="shared" si="84"/>
        <v>0</v>
      </c>
      <c r="BR47" s="75">
        <f t="shared" si="57"/>
        <v>0</v>
      </c>
      <c r="BS47" s="75">
        <f t="shared" si="58"/>
        <v>0</v>
      </c>
      <c r="BT47" s="75">
        <f t="shared" si="59"/>
        <v>0</v>
      </c>
      <c r="BU47" s="75">
        <f t="shared" si="60"/>
        <v>0</v>
      </c>
      <c r="BV47" s="75">
        <f t="shared" si="61"/>
        <v>0</v>
      </c>
      <c r="BW47" s="75">
        <f t="shared" si="62"/>
        <v>0</v>
      </c>
      <c r="BX47" s="75"/>
      <c r="BY47" s="75"/>
      <c r="BZ47" s="75">
        <f t="shared" si="63"/>
        <v>0</v>
      </c>
      <c r="CA47" s="25">
        <f t="shared" si="81"/>
        <v>0.97884017808219181</v>
      </c>
      <c r="CB47" s="75">
        <f t="shared" si="64"/>
        <v>142910666</v>
      </c>
      <c r="CC47" s="75"/>
      <c r="CD47" s="75"/>
      <c r="CE47" s="75">
        <v>98670877</v>
      </c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>
        <f>+'[1]AGOSTO 2015'!$H$1417</f>
        <v>44239789</v>
      </c>
      <c r="CQ47" s="75"/>
      <c r="CR47" s="75"/>
      <c r="CS47" s="75"/>
      <c r="CT47" s="75"/>
      <c r="CU47" s="75"/>
      <c r="CV47" s="75"/>
      <c r="CW47" s="121">
        <f t="shared" si="65"/>
        <v>2.1159821917808186E-2</v>
      </c>
      <c r="CX47" s="75">
        <f t="shared" si="66"/>
        <v>3089334</v>
      </c>
      <c r="CY47" s="75"/>
      <c r="CZ47" s="75">
        <f t="shared" ref="CZ47:DA49" si="88">O47-CD47</f>
        <v>0</v>
      </c>
      <c r="DA47" s="75">
        <f t="shared" si="88"/>
        <v>0</v>
      </c>
      <c r="DB47" s="75">
        <f t="shared" si="86"/>
        <v>0</v>
      </c>
      <c r="DC47" s="75"/>
      <c r="DD47" s="75">
        <f t="shared" si="68"/>
        <v>0</v>
      </c>
      <c r="DE47" s="75">
        <f t="shared" si="69"/>
        <v>0</v>
      </c>
      <c r="DF47" s="75"/>
      <c r="DG47" s="75">
        <f t="shared" si="70"/>
        <v>0</v>
      </c>
      <c r="DH47" s="75">
        <f t="shared" si="71"/>
        <v>0</v>
      </c>
      <c r="DI47" s="75"/>
      <c r="DJ47" s="75">
        <f t="shared" si="72"/>
        <v>0</v>
      </c>
      <c r="DK47" s="75">
        <f t="shared" si="73"/>
        <v>0</v>
      </c>
      <c r="DL47" s="75">
        <f t="shared" si="74"/>
        <v>3089334</v>
      </c>
      <c r="DM47" s="75">
        <f t="shared" si="75"/>
        <v>0</v>
      </c>
      <c r="DN47" s="75">
        <f t="shared" si="76"/>
        <v>0</v>
      </c>
      <c r="DO47" s="75">
        <f t="shared" si="77"/>
        <v>0</v>
      </c>
      <c r="DP47" s="75">
        <f t="shared" si="78"/>
        <v>0</v>
      </c>
      <c r="DQ47" s="75"/>
      <c r="DR47" s="75">
        <f t="shared" si="79"/>
        <v>0</v>
      </c>
    </row>
    <row r="48" spans="1:122" ht="35.25" hidden="1" customHeight="1" x14ac:dyDescent="0.25">
      <c r="A48" s="226"/>
      <c r="B48" s="81" t="s">
        <v>356</v>
      </c>
      <c r="C48" s="82" t="s">
        <v>355</v>
      </c>
      <c r="D48" s="81" t="s">
        <v>354</v>
      </c>
      <c r="E48" s="97">
        <v>410</v>
      </c>
      <c r="F48" s="78" t="s">
        <v>214</v>
      </c>
      <c r="G48" s="227">
        <v>1150000000</v>
      </c>
      <c r="H48" s="79">
        <f t="shared" si="47"/>
        <v>395507537</v>
      </c>
      <c r="I48" s="79">
        <f t="shared" si="48"/>
        <v>219373463</v>
      </c>
      <c r="J48" s="78" t="s">
        <v>353</v>
      </c>
      <c r="K48" s="78" t="s">
        <v>352</v>
      </c>
      <c r="L48" s="78" t="s">
        <v>351</v>
      </c>
      <c r="M48" s="125">
        <f t="shared" si="49"/>
        <v>614881000</v>
      </c>
      <c r="N48" s="45"/>
      <c r="O48" s="75">
        <f>420000000-415119000</f>
        <v>4881000</v>
      </c>
      <c r="P48" s="75"/>
      <c r="Q48" s="75"/>
      <c r="R48" s="75"/>
      <c r="S48" s="75">
        <f>30000000+30000000+10000000+20000000</f>
        <v>90000000</v>
      </c>
      <c r="T48" s="75">
        <f>5000000+10000000</f>
        <v>15000000</v>
      </c>
      <c r="U48" s="75">
        <v>102810569</v>
      </c>
      <c r="V48" s="75">
        <v>219471348</v>
      </c>
      <c r="W48" s="75"/>
      <c r="X48" s="75"/>
      <c r="Y48" s="75"/>
      <c r="Z48" s="75"/>
      <c r="AA48" s="75">
        <f>10000000</f>
        <v>10000000</v>
      </c>
      <c r="AB48" s="75">
        <f>82718083+10000000+20000000+10000000</f>
        <v>122718083</v>
      </c>
      <c r="AC48" s="75">
        <f>30000000+10000000+10000000</f>
        <v>50000000</v>
      </c>
      <c r="AD48" s="75"/>
      <c r="AE48" s="75"/>
      <c r="AF48" s="75"/>
      <c r="AG48" s="75"/>
      <c r="AI48" s="25">
        <f t="shared" si="80"/>
        <v>1</v>
      </c>
      <c r="AJ48" s="75">
        <f t="shared" si="50"/>
        <v>614881000</v>
      </c>
      <c r="AK48" s="75"/>
      <c r="AL48" s="75">
        <f>+'[6]JUNIO 2015'!$K$1062</f>
        <v>4881000</v>
      </c>
      <c r="AM48" s="75"/>
      <c r="AN48" s="75"/>
      <c r="AO48" s="75"/>
      <c r="AP48" s="75">
        <f>+'[6]JUNIO 2015'!$O$1062</f>
        <v>90000000</v>
      </c>
      <c r="AQ48" s="75">
        <f>+'[6]JUNIO 2015'!$P$1062</f>
        <v>15000000</v>
      </c>
      <c r="AR48" s="75">
        <f>+'[5]FEBRERO 2015'!$P$585</f>
        <v>102810569</v>
      </c>
      <c r="AS48" s="75">
        <f>+'[5]FEBRERO 2015'!$Q$585</f>
        <v>219471348</v>
      </c>
      <c r="AT48" s="75"/>
      <c r="AU48" s="75"/>
      <c r="AV48" s="75"/>
      <c r="AW48" s="75"/>
      <c r="AX48" s="75">
        <f>+'[6]JUNIO 2015'!$W$1062</f>
        <v>10000000</v>
      </c>
      <c r="AY48" s="75">
        <f>+'[6]JUNIO 2015'!$X$1062</f>
        <v>122718083</v>
      </c>
      <c r="AZ48" s="75">
        <f>+'[6]JUNIO 2015'!$Y$1062</f>
        <v>50000000</v>
      </c>
      <c r="BA48" s="75"/>
      <c r="BB48" s="75"/>
      <c r="BC48" s="75"/>
      <c r="BD48" s="75"/>
      <c r="BE48" s="25">
        <f t="shared" si="41"/>
        <v>0</v>
      </c>
      <c r="BF48" s="75">
        <f t="shared" si="51"/>
        <v>0</v>
      </c>
      <c r="BG48" s="75">
        <f t="shared" si="52"/>
        <v>0</v>
      </c>
      <c r="BH48" s="75">
        <f t="shared" si="87"/>
        <v>0</v>
      </c>
      <c r="BI48" s="75">
        <f t="shared" si="82"/>
        <v>0</v>
      </c>
      <c r="BJ48" s="75">
        <f t="shared" si="83"/>
        <v>0</v>
      </c>
      <c r="BK48" s="75"/>
      <c r="BL48" s="75">
        <f t="shared" si="54"/>
        <v>0</v>
      </c>
      <c r="BM48" s="75">
        <f t="shared" si="55"/>
        <v>0</v>
      </c>
      <c r="BN48" s="75">
        <f>+U48-AR48</f>
        <v>0</v>
      </c>
      <c r="BO48" s="75">
        <f t="shared" si="84"/>
        <v>0</v>
      </c>
      <c r="BP48" s="75">
        <f t="shared" si="84"/>
        <v>0</v>
      </c>
      <c r="BQ48" s="75">
        <f t="shared" si="84"/>
        <v>0</v>
      </c>
      <c r="BR48" s="75">
        <f t="shared" si="57"/>
        <v>0</v>
      </c>
      <c r="BS48" s="75">
        <f t="shared" si="58"/>
        <v>0</v>
      </c>
      <c r="BT48" s="75">
        <f t="shared" si="59"/>
        <v>0</v>
      </c>
      <c r="BU48" s="75">
        <f t="shared" si="60"/>
        <v>0</v>
      </c>
      <c r="BV48" s="75">
        <f t="shared" si="61"/>
        <v>0</v>
      </c>
      <c r="BW48" s="75">
        <f t="shared" si="62"/>
        <v>0</v>
      </c>
      <c r="BX48" s="75"/>
      <c r="BY48" s="75"/>
      <c r="BZ48" s="75">
        <f t="shared" si="63"/>
        <v>0</v>
      </c>
      <c r="CA48" s="25">
        <f t="shared" si="81"/>
        <v>0.64322614782372523</v>
      </c>
      <c r="CB48" s="75">
        <f t="shared" si="64"/>
        <v>395507537</v>
      </c>
      <c r="CC48" s="75"/>
      <c r="CD48" s="75">
        <f>+'[1]AGOSTO 2015'!$H$1429+'[1]AGOSTO 2015'!$H$1430</f>
        <v>4881000</v>
      </c>
      <c r="CE48" s="75"/>
      <c r="CF48" s="75"/>
      <c r="CG48" s="75"/>
      <c r="CH48" s="75">
        <f>+'[1]AGOSTO 2015'!$H$1534</f>
        <v>74129574</v>
      </c>
      <c r="CI48" s="75">
        <f>+'[1]AGOSTO 2015'!$H$1562</f>
        <v>3433995</v>
      </c>
      <c r="CJ48" s="75">
        <f>+'[6]JUNIO 2015'!$H$1093</f>
        <v>102810569</v>
      </c>
      <c r="CK48" s="75">
        <f>+'[1]AGOSTO 2015'!$H$1481</f>
        <v>127534316</v>
      </c>
      <c r="CL48" s="75"/>
      <c r="CM48" s="75"/>
      <c r="CN48" s="75"/>
      <c r="CO48" s="75"/>
      <c r="CP48" s="75"/>
      <c r="CQ48" s="75">
        <f>+'[1]AGOSTO 2015'!$H$1432</f>
        <v>82718083</v>
      </c>
      <c r="CR48" s="75"/>
      <c r="CS48" s="75"/>
      <c r="CT48" s="75"/>
      <c r="CU48" s="75"/>
      <c r="CV48" s="75"/>
      <c r="CW48" s="121">
        <f t="shared" si="65"/>
        <v>0.35677385217627477</v>
      </c>
      <c r="CX48" s="75">
        <f t="shared" si="66"/>
        <v>219373463</v>
      </c>
      <c r="CY48" s="75"/>
      <c r="CZ48" s="75">
        <f t="shared" si="88"/>
        <v>0</v>
      </c>
      <c r="DA48" s="75">
        <f t="shared" si="88"/>
        <v>0</v>
      </c>
      <c r="DB48" s="75">
        <f t="shared" si="86"/>
        <v>0</v>
      </c>
      <c r="DC48" s="75"/>
      <c r="DD48" s="75">
        <f t="shared" si="68"/>
        <v>15870426</v>
      </c>
      <c r="DE48" s="75">
        <f t="shared" si="69"/>
        <v>11566005</v>
      </c>
      <c r="DF48" s="75">
        <f>U48-CJ48</f>
        <v>0</v>
      </c>
      <c r="DG48" s="75">
        <f t="shared" si="70"/>
        <v>91937032</v>
      </c>
      <c r="DH48" s="75">
        <f t="shared" si="71"/>
        <v>0</v>
      </c>
      <c r="DI48" s="75"/>
      <c r="DJ48" s="75">
        <f t="shared" si="72"/>
        <v>0</v>
      </c>
      <c r="DK48" s="75">
        <f t="shared" si="73"/>
        <v>0</v>
      </c>
      <c r="DL48" s="75">
        <f t="shared" si="74"/>
        <v>10000000</v>
      </c>
      <c r="DM48" s="75">
        <f t="shared" si="75"/>
        <v>40000000</v>
      </c>
      <c r="DN48" s="75">
        <f t="shared" si="76"/>
        <v>50000000</v>
      </c>
      <c r="DO48" s="75">
        <f t="shared" si="77"/>
        <v>0</v>
      </c>
      <c r="DP48" s="75">
        <f t="shared" si="78"/>
        <v>0</v>
      </c>
      <c r="DQ48" s="75"/>
      <c r="DR48" s="75">
        <f t="shared" si="79"/>
        <v>0</v>
      </c>
    </row>
    <row r="49" spans="1:123" ht="37.5" hidden="1" customHeight="1" x14ac:dyDescent="0.25">
      <c r="A49" s="226"/>
      <c r="B49" s="81"/>
      <c r="C49" s="82" t="s">
        <v>350</v>
      </c>
      <c r="D49" s="81" t="s">
        <v>349</v>
      </c>
      <c r="E49" s="97">
        <v>410</v>
      </c>
      <c r="F49" s="78" t="s">
        <v>214</v>
      </c>
      <c r="G49" s="228"/>
      <c r="H49" s="79">
        <f t="shared" si="47"/>
        <v>18550000</v>
      </c>
      <c r="I49" s="79">
        <f t="shared" si="48"/>
        <v>1450000</v>
      </c>
      <c r="J49" s="78"/>
      <c r="K49" s="78"/>
      <c r="L49" s="78"/>
      <c r="M49" s="75">
        <f t="shared" si="49"/>
        <v>20000000</v>
      </c>
      <c r="N49" s="45"/>
      <c r="O49" s="75">
        <f>20000000-18055657-1450000</f>
        <v>494343</v>
      </c>
      <c r="P49" s="75">
        <v>18055657</v>
      </c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>
        <v>1450000</v>
      </c>
      <c r="AD49" s="75"/>
      <c r="AE49" s="75"/>
      <c r="AF49" s="75"/>
      <c r="AG49" s="75"/>
      <c r="AI49" s="25">
        <f t="shared" si="80"/>
        <v>1</v>
      </c>
      <c r="AJ49" s="75">
        <f t="shared" si="50"/>
        <v>20000000</v>
      </c>
      <c r="AK49" s="75"/>
      <c r="AL49" s="75">
        <v>494343</v>
      </c>
      <c r="AM49" s="75">
        <v>18055657</v>
      </c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>
        <f>+'[2]JULIO 2015'!$Y$1386</f>
        <v>1450000</v>
      </c>
      <c r="BA49" s="75"/>
      <c r="BB49" s="75"/>
      <c r="BC49" s="75"/>
      <c r="BD49" s="75"/>
      <c r="BE49" s="25">
        <f t="shared" si="41"/>
        <v>0</v>
      </c>
      <c r="BF49" s="75">
        <f t="shared" si="51"/>
        <v>0</v>
      </c>
      <c r="BG49" s="75">
        <f t="shared" si="52"/>
        <v>0</v>
      </c>
      <c r="BH49" s="75">
        <f t="shared" si="87"/>
        <v>0</v>
      </c>
      <c r="BI49" s="75">
        <f t="shared" si="82"/>
        <v>0</v>
      </c>
      <c r="BJ49" s="75">
        <f t="shared" si="83"/>
        <v>0</v>
      </c>
      <c r="BK49" s="75"/>
      <c r="BL49" s="75">
        <f t="shared" si="54"/>
        <v>0</v>
      </c>
      <c r="BM49" s="75">
        <f t="shared" si="55"/>
        <v>0</v>
      </c>
      <c r="BN49" s="75"/>
      <c r="BO49" s="75"/>
      <c r="BP49" s="75">
        <f>+W49-AT49</f>
        <v>0</v>
      </c>
      <c r="BQ49" s="75"/>
      <c r="BR49" s="75">
        <f t="shared" si="57"/>
        <v>0</v>
      </c>
      <c r="BS49" s="75">
        <f t="shared" si="58"/>
        <v>0</v>
      </c>
      <c r="BT49" s="75">
        <f t="shared" si="59"/>
        <v>0</v>
      </c>
      <c r="BU49" s="75">
        <f t="shared" si="60"/>
        <v>0</v>
      </c>
      <c r="BV49" s="75">
        <f t="shared" si="61"/>
        <v>0</v>
      </c>
      <c r="BW49" s="75">
        <f t="shared" si="62"/>
        <v>0</v>
      </c>
      <c r="BX49" s="75"/>
      <c r="BY49" s="75"/>
      <c r="BZ49" s="75">
        <f t="shared" si="63"/>
        <v>0</v>
      </c>
      <c r="CA49" s="25">
        <f t="shared" si="81"/>
        <v>0.92749999999999999</v>
      </c>
      <c r="CB49" s="75">
        <f t="shared" si="64"/>
        <v>18550000</v>
      </c>
      <c r="CC49" s="75"/>
      <c r="CD49" s="75">
        <f>20000000-18055657-1450000</f>
        <v>494343</v>
      </c>
      <c r="CE49" s="75">
        <v>18055657</v>
      </c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  <c r="CR49" s="75"/>
      <c r="CS49" s="75"/>
      <c r="CT49" s="75"/>
      <c r="CU49" s="75"/>
      <c r="CV49" s="75"/>
      <c r="CW49" s="121">
        <f t="shared" si="65"/>
        <v>7.2500000000000009E-2</v>
      </c>
      <c r="CX49" s="75">
        <f t="shared" si="66"/>
        <v>1450000</v>
      </c>
      <c r="CY49" s="75"/>
      <c r="CZ49" s="75">
        <f t="shared" si="88"/>
        <v>0</v>
      </c>
      <c r="DA49" s="75">
        <f t="shared" si="88"/>
        <v>0</v>
      </c>
      <c r="DB49" s="75">
        <f t="shared" si="86"/>
        <v>0</v>
      </c>
      <c r="DC49" s="75"/>
      <c r="DD49" s="75">
        <f t="shared" si="68"/>
        <v>0</v>
      </c>
      <c r="DE49" s="75">
        <f t="shared" si="69"/>
        <v>0</v>
      </c>
      <c r="DF49" s="75"/>
      <c r="DG49" s="75">
        <f t="shared" si="70"/>
        <v>0</v>
      </c>
      <c r="DH49" s="75">
        <f t="shared" si="71"/>
        <v>0</v>
      </c>
      <c r="DI49" s="75"/>
      <c r="DJ49" s="75">
        <f t="shared" si="72"/>
        <v>0</v>
      </c>
      <c r="DK49" s="75">
        <f t="shared" si="73"/>
        <v>0</v>
      </c>
      <c r="DL49" s="75">
        <f t="shared" si="74"/>
        <v>0</v>
      </c>
      <c r="DM49" s="75">
        <f t="shared" si="75"/>
        <v>0</v>
      </c>
      <c r="DN49" s="75">
        <f t="shared" si="76"/>
        <v>1450000</v>
      </c>
      <c r="DO49" s="75">
        <f t="shared" si="77"/>
        <v>0</v>
      </c>
      <c r="DP49" s="75">
        <f t="shared" si="78"/>
        <v>0</v>
      </c>
      <c r="DQ49" s="75"/>
      <c r="DR49" s="75">
        <f t="shared" si="79"/>
        <v>0</v>
      </c>
    </row>
    <row r="50" spans="1:123" ht="44.25" hidden="1" customHeight="1" x14ac:dyDescent="0.25">
      <c r="A50" s="226"/>
      <c r="B50" s="81"/>
      <c r="C50" s="82" t="s">
        <v>348</v>
      </c>
      <c r="D50" s="81" t="s">
        <v>347</v>
      </c>
      <c r="E50" s="97">
        <v>410</v>
      </c>
      <c r="F50" s="78" t="s">
        <v>346</v>
      </c>
      <c r="G50" s="228"/>
      <c r="H50" s="79">
        <f t="shared" si="47"/>
        <v>6594500</v>
      </c>
      <c r="I50" s="79">
        <f t="shared" si="48"/>
        <v>24905500</v>
      </c>
      <c r="J50" s="78" t="s">
        <v>344</v>
      </c>
      <c r="K50" s="78" t="s">
        <v>345</v>
      </c>
      <c r="L50" s="78" t="s">
        <v>344</v>
      </c>
      <c r="M50" s="75">
        <f t="shared" si="49"/>
        <v>31500000</v>
      </c>
      <c r="N50" s="4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>
        <f>14000000-10000000</f>
        <v>4000000</v>
      </c>
      <c r="AC50" s="75"/>
      <c r="AD50" s="75"/>
      <c r="AE50" s="75"/>
      <c r="AF50" s="75"/>
      <c r="AG50" s="75">
        <f>5000000+2500000+5000000+15000000</f>
        <v>27500000</v>
      </c>
      <c r="AI50" s="25">
        <f t="shared" si="80"/>
        <v>0.36507936507936506</v>
      </c>
      <c r="AJ50" s="75">
        <f t="shared" si="50"/>
        <v>11500000</v>
      </c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>
        <v>4000000</v>
      </c>
      <c r="AZ50" s="75"/>
      <c r="BA50" s="75"/>
      <c r="BB50" s="75"/>
      <c r="BC50" s="75"/>
      <c r="BD50" s="75">
        <f>+'[8]FEBRERO 2015'!$AC$565</f>
        <v>7500000</v>
      </c>
      <c r="BE50" s="25">
        <f t="shared" si="41"/>
        <v>0.63492063492063489</v>
      </c>
      <c r="BF50" s="75">
        <f t="shared" si="51"/>
        <v>20000000</v>
      </c>
      <c r="BG50" s="75">
        <f t="shared" si="52"/>
        <v>0</v>
      </c>
      <c r="BH50" s="75">
        <f t="shared" si="87"/>
        <v>0</v>
      </c>
      <c r="BI50" s="75">
        <f t="shared" si="82"/>
        <v>0</v>
      </c>
      <c r="BJ50" s="75">
        <f t="shared" si="83"/>
        <v>0</v>
      </c>
      <c r="BK50" s="75"/>
      <c r="BL50" s="75">
        <f t="shared" si="54"/>
        <v>0</v>
      </c>
      <c r="BM50" s="75">
        <f t="shared" si="55"/>
        <v>0</v>
      </c>
      <c r="BN50" s="75"/>
      <c r="BO50" s="75"/>
      <c r="BP50" s="75">
        <f>+W50-AT50</f>
        <v>0</v>
      </c>
      <c r="BQ50" s="75"/>
      <c r="BR50" s="75">
        <f t="shared" si="57"/>
        <v>0</v>
      </c>
      <c r="BS50" s="75">
        <f t="shared" si="58"/>
        <v>0</v>
      </c>
      <c r="BT50" s="75">
        <f t="shared" si="59"/>
        <v>0</v>
      </c>
      <c r="BU50" s="75">
        <f t="shared" si="60"/>
        <v>0</v>
      </c>
      <c r="BV50" s="75">
        <f t="shared" si="61"/>
        <v>0</v>
      </c>
      <c r="BW50" s="75">
        <f t="shared" si="62"/>
        <v>0</v>
      </c>
      <c r="BX50" s="75"/>
      <c r="BY50" s="75"/>
      <c r="BZ50" s="75">
        <f t="shared" si="63"/>
        <v>20000000</v>
      </c>
      <c r="CA50" s="25">
        <f t="shared" si="81"/>
        <v>0.20934920634920634</v>
      </c>
      <c r="CB50" s="75">
        <f t="shared" si="64"/>
        <v>6594500</v>
      </c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>
        <f>+'[2]JULIO 2015'!$H$1401</f>
        <v>4000000</v>
      </c>
      <c r="CR50" s="75"/>
      <c r="CS50" s="75"/>
      <c r="CT50" s="75"/>
      <c r="CU50" s="75"/>
      <c r="CV50" s="75">
        <f>+'[6]JUNIO 2015'!$H$1171</f>
        <v>2594500</v>
      </c>
      <c r="CW50" s="121">
        <f t="shared" si="65"/>
        <v>0.7906507936507936</v>
      </c>
      <c r="CX50" s="75">
        <f t="shared" si="66"/>
        <v>24905500</v>
      </c>
      <c r="CY50" s="75"/>
      <c r="CZ50" s="75"/>
      <c r="DA50" s="75"/>
      <c r="DB50" s="75">
        <f t="shared" si="86"/>
        <v>0</v>
      </c>
      <c r="DC50" s="75"/>
      <c r="DD50" s="75">
        <f t="shared" si="68"/>
        <v>0</v>
      </c>
      <c r="DE50" s="75">
        <f t="shared" si="69"/>
        <v>0</v>
      </c>
      <c r="DF50" s="75"/>
      <c r="DG50" s="75">
        <f t="shared" si="70"/>
        <v>0</v>
      </c>
      <c r="DH50" s="75">
        <f t="shared" si="71"/>
        <v>0</v>
      </c>
      <c r="DI50" s="75"/>
      <c r="DJ50" s="75">
        <f t="shared" si="72"/>
        <v>0</v>
      </c>
      <c r="DK50" s="75">
        <f t="shared" si="73"/>
        <v>0</v>
      </c>
      <c r="DL50" s="75">
        <f t="shared" si="74"/>
        <v>0</v>
      </c>
      <c r="DM50" s="75">
        <f t="shared" si="75"/>
        <v>0</v>
      </c>
      <c r="DN50" s="75">
        <f t="shared" si="76"/>
        <v>0</v>
      </c>
      <c r="DO50" s="75">
        <f t="shared" si="77"/>
        <v>0</v>
      </c>
      <c r="DP50" s="75">
        <f t="shared" si="78"/>
        <v>0</v>
      </c>
      <c r="DQ50" s="75"/>
      <c r="DR50" s="75">
        <f t="shared" si="79"/>
        <v>24905500</v>
      </c>
    </row>
    <row r="51" spans="1:123" ht="33" hidden="1" customHeight="1" x14ac:dyDescent="0.25">
      <c r="A51" s="226"/>
      <c r="B51" s="81"/>
      <c r="C51" s="82" t="s">
        <v>343</v>
      </c>
      <c r="D51" s="81" t="s">
        <v>342</v>
      </c>
      <c r="E51" s="97">
        <v>410</v>
      </c>
      <c r="F51" s="78" t="s">
        <v>267</v>
      </c>
      <c r="G51" s="228"/>
      <c r="H51" s="79">
        <f t="shared" si="47"/>
        <v>0</v>
      </c>
      <c r="I51" s="79">
        <f t="shared" si="48"/>
        <v>7000000</v>
      </c>
      <c r="J51" s="78"/>
      <c r="K51" s="78"/>
      <c r="L51" s="78"/>
      <c r="M51" s="75">
        <f t="shared" si="49"/>
        <v>7000000</v>
      </c>
      <c r="N51" s="4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>
        <f>2000000+5000000</f>
        <v>7000000</v>
      </c>
      <c r="AI51" s="25">
        <f t="shared" si="80"/>
        <v>0.2857142857142857</v>
      </c>
      <c r="AJ51" s="75">
        <f t="shared" si="50"/>
        <v>2000000</v>
      </c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>
        <f>+'[8]FEBRERO 2015'!$AC$571</f>
        <v>2000000</v>
      </c>
      <c r="BE51" s="25">
        <f t="shared" si="41"/>
        <v>0.7142857142857143</v>
      </c>
      <c r="BF51" s="75">
        <f t="shared" si="51"/>
        <v>5000000</v>
      </c>
      <c r="BG51" s="75">
        <f t="shared" si="52"/>
        <v>0</v>
      </c>
      <c r="BH51" s="75">
        <f t="shared" si="87"/>
        <v>0</v>
      </c>
      <c r="BI51" s="75">
        <f t="shared" si="82"/>
        <v>0</v>
      </c>
      <c r="BJ51" s="75">
        <f t="shared" si="83"/>
        <v>0</v>
      </c>
      <c r="BK51" s="75"/>
      <c r="BL51" s="75">
        <f t="shared" si="54"/>
        <v>0</v>
      </c>
      <c r="BM51" s="75">
        <f t="shared" si="55"/>
        <v>0</v>
      </c>
      <c r="BN51" s="75"/>
      <c r="BO51" s="75"/>
      <c r="BP51" s="75">
        <f>+W51-AT51</f>
        <v>0</v>
      </c>
      <c r="BQ51" s="75"/>
      <c r="BR51" s="75">
        <f t="shared" si="57"/>
        <v>0</v>
      </c>
      <c r="BS51" s="75">
        <f t="shared" si="58"/>
        <v>0</v>
      </c>
      <c r="BT51" s="75">
        <f t="shared" si="59"/>
        <v>0</v>
      </c>
      <c r="BU51" s="75">
        <f t="shared" si="60"/>
        <v>0</v>
      </c>
      <c r="BV51" s="75">
        <f t="shared" si="61"/>
        <v>0</v>
      </c>
      <c r="BW51" s="75">
        <f t="shared" si="62"/>
        <v>0</v>
      </c>
      <c r="BX51" s="75"/>
      <c r="BY51" s="75"/>
      <c r="BZ51" s="75">
        <f t="shared" si="63"/>
        <v>5000000</v>
      </c>
      <c r="CA51" s="25">
        <f t="shared" si="81"/>
        <v>0</v>
      </c>
      <c r="CB51" s="75">
        <f t="shared" si="64"/>
        <v>0</v>
      </c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  <c r="CR51" s="75"/>
      <c r="CS51" s="75"/>
      <c r="CT51" s="75"/>
      <c r="CU51" s="75"/>
      <c r="CV51" s="75"/>
      <c r="CW51" s="121">
        <f t="shared" si="65"/>
        <v>1</v>
      </c>
      <c r="CX51" s="75">
        <f t="shared" si="66"/>
        <v>7000000</v>
      </c>
      <c r="CY51" s="75"/>
      <c r="CZ51" s="75"/>
      <c r="DA51" s="75"/>
      <c r="DB51" s="75">
        <f t="shared" si="86"/>
        <v>0</v>
      </c>
      <c r="DC51" s="75"/>
      <c r="DD51" s="75">
        <f t="shared" si="68"/>
        <v>0</v>
      </c>
      <c r="DE51" s="75">
        <f t="shared" si="69"/>
        <v>0</v>
      </c>
      <c r="DF51" s="75"/>
      <c r="DG51" s="75">
        <f t="shared" si="70"/>
        <v>0</v>
      </c>
      <c r="DH51" s="75">
        <f t="shared" si="71"/>
        <v>0</v>
      </c>
      <c r="DI51" s="75"/>
      <c r="DJ51" s="75">
        <f t="shared" si="72"/>
        <v>0</v>
      </c>
      <c r="DK51" s="75">
        <f t="shared" si="73"/>
        <v>0</v>
      </c>
      <c r="DL51" s="75">
        <f t="shared" si="74"/>
        <v>0</v>
      </c>
      <c r="DM51" s="75">
        <f t="shared" si="75"/>
        <v>0</v>
      </c>
      <c r="DN51" s="75">
        <f t="shared" si="76"/>
        <v>0</v>
      </c>
      <c r="DO51" s="75">
        <f t="shared" si="77"/>
        <v>0</v>
      </c>
      <c r="DP51" s="75">
        <f t="shared" si="78"/>
        <v>0</v>
      </c>
      <c r="DQ51" s="75"/>
      <c r="DR51" s="75">
        <f t="shared" si="79"/>
        <v>7000000</v>
      </c>
    </row>
    <row r="52" spans="1:123" ht="21.75" hidden="1" customHeight="1" x14ac:dyDescent="0.25">
      <c r="A52" s="226"/>
      <c r="B52" s="81"/>
      <c r="C52" s="82" t="s">
        <v>341</v>
      </c>
      <c r="D52" s="81" t="s">
        <v>340</v>
      </c>
      <c r="E52" s="97">
        <v>410</v>
      </c>
      <c r="F52" s="78" t="s">
        <v>214</v>
      </c>
      <c r="G52" s="229"/>
      <c r="H52" s="79">
        <f t="shared" si="47"/>
        <v>477702868</v>
      </c>
      <c r="I52" s="79">
        <f t="shared" si="48"/>
        <v>222297132</v>
      </c>
      <c r="J52" s="78"/>
      <c r="K52" s="78"/>
      <c r="L52" s="78"/>
      <c r="M52" s="75">
        <f t="shared" si="49"/>
        <v>700000000</v>
      </c>
      <c r="N52" s="4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>
        <v>700000000</v>
      </c>
      <c r="AA52" s="75"/>
      <c r="AB52" s="75"/>
      <c r="AC52" s="75"/>
      <c r="AD52" s="75"/>
      <c r="AE52" s="75"/>
      <c r="AF52" s="75"/>
      <c r="AG52" s="75"/>
      <c r="AI52" s="25">
        <f t="shared" si="80"/>
        <v>0.87039913571428573</v>
      </c>
      <c r="AJ52" s="75">
        <f t="shared" si="50"/>
        <v>609279395</v>
      </c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>
        <v>609279395</v>
      </c>
      <c r="AX52" s="75"/>
      <c r="AY52" s="75"/>
      <c r="AZ52" s="75"/>
      <c r="BA52" s="75"/>
      <c r="BB52" s="75"/>
      <c r="BC52" s="75"/>
      <c r="BD52" s="75"/>
      <c r="BE52" s="25">
        <f t="shared" si="41"/>
        <v>0.12960086428571427</v>
      </c>
      <c r="BF52" s="75">
        <f t="shared" si="51"/>
        <v>90720605</v>
      </c>
      <c r="BG52" s="75">
        <f t="shared" si="52"/>
        <v>0</v>
      </c>
      <c r="BH52" s="75">
        <f t="shared" si="87"/>
        <v>0</v>
      </c>
      <c r="BI52" s="75">
        <f t="shared" si="82"/>
        <v>0</v>
      </c>
      <c r="BJ52" s="75">
        <f t="shared" si="83"/>
        <v>0</v>
      </c>
      <c r="BK52" s="75"/>
      <c r="BL52" s="75">
        <f t="shared" si="54"/>
        <v>0</v>
      </c>
      <c r="BM52" s="75">
        <f t="shared" si="55"/>
        <v>0</v>
      </c>
      <c r="BN52" s="75"/>
      <c r="BO52" s="75">
        <f>+V52-AS52</f>
        <v>0</v>
      </c>
      <c r="BP52" s="75">
        <f>+W52-AT52</f>
        <v>0</v>
      </c>
      <c r="BQ52" s="75">
        <f>+X52-AU52</f>
        <v>0</v>
      </c>
      <c r="BR52" s="75">
        <f t="shared" si="57"/>
        <v>0</v>
      </c>
      <c r="BS52" s="75">
        <f t="shared" si="58"/>
        <v>90720605</v>
      </c>
      <c r="BT52" s="75">
        <f t="shared" si="59"/>
        <v>0</v>
      </c>
      <c r="BU52" s="75">
        <f t="shared" si="60"/>
        <v>0</v>
      </c>
      <c r="BV52" s="75">
        <f t="shared" si="61"/>
        <v>0</v>
      </c>
      <c r="BW52" s="75">
        <f t="shared" si="62"/>
        <v>0</v>
      </c>
      <c r="BX52" s="75"/>
      <c r="BY52" s="75"/>
      <c r="BZ52" s="75">
        <f t="shared" si="63"/>
        <v>0</v>
      </c>
      <c r="CA52" s="25">
        <f t="shared" si="81"/>
        <v>0.68243266857142859</v>
      </c>
      <c r="CB52" s="75">
        <f t="shared" si="64"/>
        <v>477702868</v>
      </c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>
        <f>+'[1]AGOSTO 2015'!$H$1591</f>
        <v>477702868</v>
      </c>
      <c r="CP52" s="75"/>
      <c r="CQ52" s="75"/>
      <c r="CR52" s="75"/>
      <c r="CS52" s="75"/>
      <c r="CT52" s="75"/>
      <c r="CU52" s="75"/>
      <c r="CV52" s="75"/>
      <c r="CW52" s="121">
        <f t="shared" si="65"/>
        <v>0.31756733142857141</v>
      </c>
      <c r="CX52" s="75">
        <f t="shared" si="66"/>
        <v>222297132</v>
      </c>
      <c r="CY52" s="75"/>
      <c r="CZ52" s="75"/>
      <c r="DA52" s="75"/>
      <c r="DB52" s="75">
        <f t="shared" si="86"/>
        <v>0</v>
      </c>
      <c r="DC52" s="75"/>
      <c r="DD52" s="75">
        <f t="shared" si="68"/>
        <v>0</v>
      </c>
      <c r="DE52" s="75">
        <f t="shared" si="69"/>
        <v>0</v>
      </c>
      <c r="DF52" s="75"/>
      <c r="DG52" s="75">
        <f t="shared" si="70"/>
        <v>0</v>
      </c>
      <c r="DH52" s="75">
        <f t="shared" si="71"/>
        <v>0</v>
      </c>
      <c r="DI52" s="75"/>
      <c r="DJ52" s="75">
        <f t="shared" si="72"/>
        <v>0</v>
      </c>
      <c r="DK52" s="75">
        <f t="shared" si="73"/>
        <v>222297132</v>
      </c>
      <c r="DL52" s="75">
        <f t="shared" si="74"/>
        <v>0</v>
      </c>
      <c r="DM52" s="75">
        <f t="shared" si="75"/>
        <v>0</v>
      </c>
      <c r="DN52" s="75">
        <f t="shared" si="76"/>
        <v>0</v>
      </c>
      <c r="DO52" s="75">
        <f t="shared" si="77"/>
        <v>0</v>
      </c>
      <c r="DP52" s="75">
        <f t="shared" si="78"/>
        <v>0</v>
      </c>
      <c r="DQ52" s="75"/>
      <c r="DR52" s="75">
        <f t="shared" si="79"/>
        <v>0</v>
      </c>
    </row>
    <row r="53" spans="1:123" ht="49.5" hidden="1" customHeight="1" x14ac:dyDescent="0.25">
      <c r="A53" s="226"/>
      <c r="B53" s="81" t="s">
        <v>339</v>
      </c>
      <c r="C53" s="82" t="s">
        <v>338</v>
      </c>
      <c r="D53" s="81" t="s">
        <v>337</v>
      </c>
      <c r="E53" s="97">
        <v>410</v>
      </c>
      <c r="F53" s="78" t="s">
        <v>297</v>
      </c>
      <c r="G53" s="227">
        <v>1104000000</v>
      </c>
      <c r="H53" s="79">
        <f t="shared" si="47"/>
        <v>237292</v>
      </c>
      <c r="I53" s="79">
        <f t="shared" si="48"/>
        <v>5762708</v>
      </c>
      <c r="J53" s="78"/>
      <c r="K53" s="78"/>
      <c r="L53" s="78"/>
      <c r="M53" s="75">
        <f t="shared" si="49"/>
        <v>6000000</v>
      </c>
      <c r="N53" s="4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>
        <f>4000000+2000000</f>
        <v>6000000</v>
      </c>
      <c r="AI53" s="25">
        <f t="shared" si="80"/>
        <v>1</v>
      </c>
      <c r="AJ53" s="75">
        <f t="shared" si="50"/>
        <v>6000000</v>
      </c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>
        <f>+'[2]JULIO 2015'!$AD$1462</f>
        <v>6000000</v>
      </c>
      <c r="BE53" s="25">
        <f t="shared" si="41"/>
        <v>0</v>
      </c>
      <c r="BF53" s="75">
        <f t="shared" si="51"/>
        <v>0</v>
      </c>
      <c r="BG53" s="75">
        <f t="shared" si="52"/>
        <v>0</v>
      </c>
      <c r="BH53" s="75">
        <f t="shared" si="87"/>
        <v>0</v>
      </c>
      <c r="BI53" s="75">
        <f t="shared" si="82"/>
        <v>0</v>
      </c>
      <c r="BJ53" s="75">
        <f t="shared" si="83"/>
        <v>0</v>
      </c>
      <c r="BK53" s="75"/>
      <c r="BL53" s="75">
        <f t="shared" si="54"/>
        <v>0</v>
      </c>
      <c r="BM53" s="75">
        <f t="shared" si="55"/>
        <v>0</v>
      </c>
      <c r="BN53" s="75"/>
      <c r="BO53" s="75">
        <f>+V53-AT53</f>
        <v>0</v>
      </c>
      <c r="BP53" s="75">
        <f>+W53-AT53</f>
        <v>0</v>
      </c>
      <c r="BQ53" s="75">
        <f>+X53-AU53</f>
        <v>0</v>
      </c>
      <c r="BR53" s="75">
        <f t="shared" si="57"/>
        <v>0</v>
      </c>
      <c r="BS53" s="75">
        <f t="shared" si="58"/>
        <v>0</v>
      </c>
      <c r="BT53" s="75">
        <f t="shared" si="59"/>
        <v>0</v>
      </c>
      <c r="BU53" s="75">
        <f t="shared" si="60"/>
        <v>0</v>
      </c>
      <c r="BV53" s="75">
        <f t="shared" si="61"/>
        <v>0</v>
      </c>
      <c r="BW53" s="75">
        <f t="shared" si="62"/>
        <v>0</v>
      </c>
      <c r="BX53" s="75">
        <f>+AE53-BB53</f>
        <v>0</v>
      </c>
      <c r="BY53" s="75">
        <f>+AF53-BC53</f>
        <v>0</v>
      </c>
      <c r="BZ53" s="75">
        <f t="shared" si="63"/>
        <v>0</v>
      </c>
      <c r="CA53" s="25">
        <f t="shared" si="81"/>
        <v>3.9548666666666669E-2</v>
      </c>
      <c r="CB53" s="75">
        <f t="shared" si="64"/>
        <v>237292</v>
      </c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>
        <f>+'[1]AGOSTO 2015'!$H$1644</f>
        <v>237292</v>
      </c>
      <c r="CW53" s="121">
        <f t="shared" si="65"/>
        <v>0.96045133333333332</v>
      </c>
      <c r="CX53" s="75">
        <f t="shared" si="66"/>
        <v>5762708</v>
      </c>
      <c r="CY53" s="75"/>
      <c r="CZ53" s="75"/>
      <c r="DA53" s="75"/>
      <c r="DB53" s="75">
        <f t="shared" si="86"/>
        <v>0</v>
      </c>
      <c r="DC53" s="75"/>
      <c r="DD53" s="75">
        <f t="shared" si="68"/>
        <v>0</v>
      </c>
      <c r="DE53" s="75">
        <f t="shared" si="69"/>
        <v>0</v>
      </c>
      <c r="DF53" s="75"/>
      <c r="DG53" s="75">
        <f t="shared" si="70"/>
        <v>0</v>
      </c>
      <c r="DH53" s="75">
        <f t="shared" si="71"/>
        <v>0</v>
      </c>
      <c r="DI53" s="75"/>
      <c r="DJ53" s="75">
        <f t="shared" si="72"/>
        <v>0</v>
      </c>
      <c r="DK53" s="75">
        <f t="shared" si="73"/>
        <v>0</v>
      </c>
      <c r="DL53" s="75">
        <f t="shared" si="74"/>
        <v>0</v>
      </c>
      <c r="DM53" s="75">
        <f t="shared" si="75"/>
        <v>0</v>
      </c>
      <c r="DN53" s="75">
        <f t="shared" si="76"/>
        <v>0</v>
      </c>
      <c r="DO53" s="75">
        <f t="shared" si="77"/>
        <v>0</v>
      </c>
      <c r="DP53" s="75">
        <f t="shared" si="78"/>
        <v>0</v>
      </c>
      <c r="DQ53" s="75"/>
      <c r="DR53" s="75">
        <f t="shared" si="79"/>
        <v>5762708</v>
      </c>
    </row>
    <row r="54" spans="1:123" ht="32.25" hidden="1" customHeight="1" x14ac:dyDescent="0.25">
      <c r="A54" s="226"/>
      <c r="B54" s="81"/>
      <c r="C54" s="82" t="s">
        <v>336</v>
      </c>
      <c r="D54" s="81" t="s">
        <v>335</v>
      </c>
      <c r="E54" s="97">
        <v>410</v>
      </c>
      <c r="F54" s="78" t="s">
        <v>214</v>
      </c>
      <c r="G54" s="228"/>
      <c r="H54" s="79">
        <f t="shared" si="47"/>
        <v>68304224</v>
      </c>
      <c r="I54" s="79">
        <f t="shared" si="48"/>
        <v>49135813</v>
      </c>
      <c r="J54" s="78"/>
      <c r="K54" s="78"/>
      <c r="L54" s="78"/>
      <c r="M54" s="75">
        <f t="shared" si="49"/>
        <v>117440037</v>
      </c>
      <c r="N54" s="45"/>
      <c r="O54" s="75">
        <f>400000000-352559963</f>
        <v>47440037</v>
      </c>
      <c r="P54" s="75"/>
      <c r="Q54" s="75"/>
      <c r="R54" s="75"/>
      <c r="S54" s="75">
        <v>50000000</v>
      </c>
      <c r="T54" s="75"/>
      <c r="U54" s="75"/>
      <c r="V54" s="75"/>
      <c r="W54" s="75"/>
      <c r="X54" s="75"/>
      <c r="Y54" s="75"/>
      <c r="Z54" s="75"/>
      <c r="AA54" s="75"/>
      <c r="AB54" s="75"/>
      <c r="AC54" s="75">
        <v>20000000</v>
      </c>
      <c r="AD54" s="75"/>
      <c r="AE54" s="75"/>
      <c r="AF54" s="75"/>
      <c r="AG54" s="75"/>
      <c r="AI54" s="25">
        <f t="shared" si="80"/>
        <v>1</v>
      </c>
      <c r="AJ54" s="75">
        <f t="shared" si="50"/>
        <v>117440037</v>
      </c>
      <c r="AK54" s="75"/>
      <c r="AL54" s="75">
        <f>+'[6]JUNIO 2015'!$K$1243</f>
        <v>47440037</v>
      </c>
      <c r="AM54" s="75"/>
      <c r="AN54" s="75"/>
      <c r="AO54" s="75"/>
      <c r="AP54" s="75">
        <f>+'[6]JUNIO 2015'!$O$1243</f>
        <v>50000000</v>
      </c>
      <c r="AQ54" s="75"/>
      <c r="AR54" s="75"/>
      <c r="AS54" s="75"/>
      <c r="AT54" s="75"/>
      <c r="AU54" s="75"/>
      <c r="AV54" s="75"/>
      <c r="AW54" s="75"/>
      <c r="AX54" s="75"/>
      <c r="AY54" s="75"/>
      <c r="AZ54" s="75">
        <f>+'[2]JULIO 2015'!$Y$1469</f>
        <v>20000000</v>
      </c>
      <c r="BA54" s="75"/>
      <c r="BB54" s="75"/>
      <c r="BC54" s="75"/>
      <c r="BD54" s="75"/>
      <c r="BE54" s="25">
        <f t="shared" si="41"/>
        <v>0</v>
      </c>
      <c r="BF54" s="75">
        <f t="shared" si="51"/>
        <v>0</v>
      </c>
      <c r="BG54" s="75">
        <f t="shared" si="52"/>
        <v>0</v>
      </c>
      <c r="BH54" s="75">
        <f t="shared" si="87"/>
        <v>0</v>
      </c>
      <c r="BI54" s="75">
        <f t="shared" si="82"/>
        <v>0</v>
      </c>
      <c r="BJ54" s="75">
        <f t="shared" si="83"/>
        <v>0</v>
      </c>
      <c r="BK54" s="75"/>
      <c r="BL54" s="75">
        <f t="shared" si="54"/>
        <v>0</v>
      </c>
      <c r="BM54" s="75">
        <f t="shared" si="55"/>
        <v>0</v>
      </c>
      <c r="BN54" s="75"/>
      <c r="BO54" s="75">
        <f>+V54-AT54</f>
        <v>0</v>
      </c>
      <c r="BP54" s="75">
        <f>+W54-AU54</f>
        <v>0</v>
      </c>
      <c r="BQ54" s="75">
        <f>+X54-AV54</f>
        <v>0</v>
      </c>
      <c r="BR54" s="75">
        <f t="shared" si="57"/>
        <v>0</v>
      </c>
      <c r="BS54" s="75">
        <f t="shared" si="58"/>
        <v>0</v>
      </c>
      <c r="BT54" s="75">
        <f t="shared" si="59"/>
        <v>0</v>
      </c>
      <c r="BU54" s="75">
        <f t="shared" si="60"/>
        <v>0</v>
      </c>
      <c r="BV54" s="75">
        <f t="shared" si="61"/>
        <v>0</v>
      </c>
      <c r="BW54" s="75">
        <f t="shared" si="62"/>
        <v>0</v>
      </c>
      <c r="BX54" s="75">
        <f>+AE54-BB54</f>
        <v>0</v>
      </c>
      <c r="BY54" s="75">
        <f>+AF54-BC54</f>
        <v>0</v>
      </c>
      <c r="BZ54" s="75">
        <f t="shared" si="63"/>
        <v>0</v>
      </c>
      <c r="CA54" s="25">
        <f t="shared" si="81"/>
        <v>0.58160935354609944</v>
      </c>
      <c r="CB54" s="75">
        <f t="shared" si="64"/>
        <v>68304224</v>
      </c>
      <c r="CC54" s="75"/>
      <c r="CD54" s="75">
        <f>+'[2]JULIO 2015'!$H$1471+'[2]JULIO 2015'!$H$1473+'[2]JULIO 2015'!$H$1477+'[2]JULIO 2015'!$H$1480+'[2]JULIO 2015'!$H$1485+'[2]JULIO 2015'!$H$1490+'[2]JULIO 2015'!$H$1493+'[2]JULIO 2015'!$H$1496+'[2]JULIO 2015'!$H$1502+'[2]JULIO 2015'!$H$1504</f>
        <v>47440037</v>
      </c>
      <c r="CE54" s="75"/>
      <c r="CF54" s="75"/>
      <c r="CG54" s="75"/>
      <c r="CH54" s="75">
        <f>+'[2]JULIO 2015'!$H$1506</f>
        <v>14002131</v>
      </c>
      <c r="CI54" s="75"/>
      <c r="CJ54" s="75"/>
      <c r="CK54" s="75"/>
      <c r="CL54" s="75"/>
      <c r="CM54" s="75"/>
      <c r="CN54" s="75"/>
      <c r="CO54" s="75"/>
      <c r="CP54" s="75"/>
      <c r="CQ54" s="75"/>
      <c r="CR54" s="75">
        <f>+'[2]JULIO 2015'!$H$1511</f>
        <v>6862056</v>
      </c>
      <c r="CS54" s="75"/>
      <c r="CT54" s="75"/>
      <c r="CU54" s="75"/>
      <c r="CV54" s="75"/>
      <c r="CW54" s="121">
        <f t="shared" si="65"/>
        <v>0.41839064645390056</v>
      </c>
      <c r="CX54" s="75">
        <f t="shared" si="66"/>
        <v>49135813</v>
      </c>
      <c r="CY54" s="75"/>
      <c r="CZ54" s="75">
        <f>O54-CD54</f>
        <v>0</v>
      </c>
      <c r="DA54" s="75">
        <f>P54-CE54</f>
        <v>0</v>
      </c>
      <c r="DB54" s="75">
        <f t="shared" si="86"/>
        <v>0</v>
      </c>
      <c r="DC54" s="75"/>
      <c r="DD54" s="75">
        <f t="shared" si="68"/>
        <v>35997869</v>
      </c>
      <c r="DE54" s="75">
        <f t="shared" si="69"/>
        <v>0</v>
      </c>
      <c r="DF54" s="75"/>
      <c r="DG54" s="75">
        <f t="shared" si="70"/>
        <v>0</v>
      </c>
      <c r="DH54" s="75">
        <f t="shared" si="71"/>
        <v>0</v>
      </c>
      <c r="DI54" s="75"/>
      <c r="DJ54" s="75">
        <f t="shared" si="72"/>
        <v>0</v>
      </c>
      <c r="DK54" s="75">
        <f t="shared" si="73"/>
        <v>0</v>
      </c>
      <c r="DL54" s="75">
        <f t="shared" si="74"/>
        <v>0</v>
      </c>
      <c r="DM54" s="75">
        <f t="shared" si="75"/>
        <v>0</v>
      </c>
      <c r="DN54" s="75">
        <f t="shared" si="76"/>
        <v>13137944</v>
      </c>
      <c r="DO54" s="75">
        <f t="shared" si="77"/>
        <v>0</v>
      </c>
      <c r="DP54" s="75">
        <f t="shared" si="78"/>
        <v>0</v>
      </c>
      <c r="DQ54" s="75"/>
      <c r="DR54" s="75">
        <f t="shared" si="79"/>
        <v>0</v>
      </c>
    </row>
    <row r="55" spans="1:123" ht="20.25" hidden="1" customHeight="1" x14ac:dyDescent="0.25">
      <c r="A55" s="226"/>
      <c r="B55" s="81"/>
      <c r="C55" s="82" t="s">
        <v>334</v>
      </c>
      <c r="D55" s="81" t="s">
        <v>333</v>
      </c>
      <c r="E55" s="97">
        <v>410</v>
      </c>
      <c r="F55" s="78" t="s">
        <v>214</v>
      </c>
      <c r="G55" s="229"/>
      <c r="H55" s="79">
        <f t="shared" si="47"/>
        <v>625958231</v>
      </c>
      <c r="I55" s="79">
        <f t="shared" si="48"/>
        <v>2178055449</v>
      </c>
      <c r="J55" s="78"/>
      <c r="K55" s="78"/>
      <c r="L55" s="78"/>
      <c r="M55" s="75">
        <f t="shared" si="49"/>
        <v>2804013680</v>
      </c>
      <c r="N55" s="4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>
        <f>700000000+2104013680</f>
        <v>2804013680</v>
      </c>
      <c r="AA55" s="75"/>
      <c r="AB55" s="75"/>
      <c r="AC55" s="75"/>
      <c r="AD55" s="75"/>
      <c r="AE55" s="75"/>
      <c r="AF55" s="75"/>
      <c r="AG55" s="75"/>
      <c r="AI55" s="25">
        <f t="shared" si="80"/>
        <v>0.63356168148223868</v>
      </c>
      <c r="AJ55" s="75">
        <f t="shared" si="50"/>
        <v>1776515622</v>
      </c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>
        <f>+'[1]AGOSTO 2015'!$V$1701</f>
        <v>1776515622</v>
      </c>
      <c r="AX55" s="75"/>
      <c r="AY55" s="75"/>
      <c r="AZ55" s="75"/>
      <c r="BA55" s="75"/>
      <c r="BB55" s="75"/>
      <c r="BC55" s="75"/>
      <c r="BD55" s="75"/>
      <c r="BE55" s="25">
        <f t="shared" si="41"/>
        <v>0.36643831851776132</v>
      </c>
      <c r="BF55" s="75">
        <f t="shared" si="51"/>
        <v>1027498058</v>
      </c>
      <c r="BG55" s="75">
        <f t="shared" si="52"/>
        <v>0</v>
      </c>
      <c r="BH55" s="75">
        <f t="shared" si="87"/>
        <v>0</v>
      </c>
      <c r="BI55" s="75">
        <f t="shared" si="82"/>
        <v>0</v>
      </c>
      <c r="BJ55" s="75">
        <f t="shared" si="83"/>
        <v>0</v>
      </c>
      <c r="BK55" s="75"/>
      <c r="BL55" s="75">
        <f t="shared" si="54"/>
        <v>0</v>
      </c>
      <c r="BM55" s="75">
        <f t="shared" si="55"/>
        <v>0</v>
      </c>
      <c r="BN55" s="75"/>
      <c r="BO55" s="75"/>
      <c r="BP55" s="75">
        <f>+W55-AU55</f>
        <v>0</v>
      </c>
      <c r="BQ55" s="75"/>
      <c r="BR55" s="75">
        <f t="shared" ref="BR55:BT58" si="89">+Y55-AV55</f>
        <v>0</v>
      </c>
      <c r="BS55" s="75">
        <f t="shared" si="89"/>
        <v>1027498058</v>
      </c>
      <c r="BT55" s="75">
        <f t="shared" si="89"/>
        <v>0</v>
      </c>
      <c r="BU55" s="75"/>
      <c r="BV55" s="75">
        <f t="shared" ref="BV55:BW58" si="90">+AC55-AZ55</f>
        <v>0</v>
      </c>
      <c r="BW55" s="75">
        <f t="shared" si="90"/>
        <v>0</v>
      </c>
      <c r="BX55" s="75"/>
      <c r="BY55" s="75"/>
      <c r="BZ55" s="75">
        <f t="shared" si="63"/>
        <v>0</v>
      </c>
      <c r="CA55" s="25">
        <f t="shared" si="81"/>
        <v>0.22323651110004569</v>
      </c>
      <c r="CB55" s="75">
        <f t="shared" si="64"/>
        <v>625958231</v>
      </c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>
        <f>+'[1]AGOSTO 2015'!$H$1699</f>
        <v>625958231</v>
      </c>
      <c r="CP55" s="75"/>
      <c r="CQ55" s="75"/>
      <c r="CR55" s="75"/>
      <c r="CS55" s="75"/>
      <c r="CT55" s="75"/>
      <c r="CU55" s="75"/>
      <c r="CV55" s="75"/>
      <c r="CW55" s="121">
        <f t="shared" si="65"/>
        <v>0.77676348889995428</v>
      </c>
      <c r="CX55" s="75">
        <f t="shared" si="66"/>
        <v>2178055449</v>
      </c>
      <c r="CY55" s="75"/>
      <c r="CZ55" s="75"/>
      <c r="DA55" s="75"/>
      <c r="DB55" s="75">
        <f t="shared" si="86"/>
        <v>0</v>
      </c>
      <c r="DC55" s="75"/>
      <c r="DD55" s="75">
        <f t="shared" si="68"/>
        <v>0</v>
      </c>
      <c r="DE55" s="75">
        <f t="shared" si="69"/>
        <v>0</v>
      </c>
      <c r="DF55" s="75"/>
      <c r="DG55" s="75">
        <f t="shared" si="70"/>
        <v>0</v>
      </c>
      <c r="DH55" s="75">
        <f t="shared" si="71"/>
        <v>0</v>
      </c>
      <c r="DI55" s="75"/>
      <c r="DJ55" s="75">
        <f t="shared" si="72"/>
        <v>0</v>
      </c>
      <c r="DK55" s="75">
        <f t="shared" si="73"/>
        <v>2178055449</v>
      </c>
      <c r="DL55" s="75">
        <f t="shared" si="74"/>
        <v>0</v>
      </c>
      <c r="DM55" s="75">
        <f t="shared" si="75"/>
        <v>0</v>
      </c>
      <c r="DN55" s="75">
        <f t="shared" si="76"/>
        <v>0</v>
      </c>
      <c r="DO55" s="75">
        <f t="shared" si="77"/>
        <v>0</v>
      </c>
      <c r="DP55" s="75">
        <f t="shared" si="78"/>
        <v>0</v>
      </c>
      <c r="DQ55" s="75"/>
      <c r="DR55" s="75">
        <f t="shared" si="79"/>
        <v>0</v>
      </c>
    </row>
    <row r="56" spans="1:123" ht="33.75" hidden="1" customHeight="1" x14ac:dyDescent="0.25">
      <c r="A56" s="226"/>
      <c r="B56" s="81" t="s">
        <v>332</v>
      </c>
      <c r="C56" s="82" t="s">
        <v>331</v>
      </c>
      <c r="D56" s="81" t="s">
        <v>330</v>
      </c>
      <c r="E56" s="97">
        <v>410</v>
      </c>
      <c r="F56" s="78" t="s">
        <v>214</v>
      </c>
      <c r="G56" s="227">
        <v>50000000</v>
      </c>
      <c r="H56" s="79">
        <f t="shared" si="47"/>
        <v>29661193</v>
      </c>
      <c r="I56" s="79">
        <f t="shared" si="48"/>
        <v>5338807</v>
      </c>
      <c r="J56" s="78"/>
      <c r="K56" s="78"/>
      <c r="L56" s="78"/>
      <c r="M56" s="75">
        <f t="shared" si="49"/>
        <v>35000000</v>
      </c>
      <c r="N56" s="45"/>
      <c r="O56" s="75"/>
      <c r="P56" s="75"/>
      <c r="Q56" s="75"/>
      <c r="R56" s="75"/>
      <c r="S56" s="75">
        <v>35000000</v>
      </c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I56" s="25">
        <f t="shared" si="80"/>
        <v>1</v>
      </c>
      <c r="AJ56" s="75">
        <f t="shared" si="50"/>
        <v>35000000</v>
      </c>
      <c r="AK56" s="75"/>
      <c r="AL56" s="75"/>
      <c r="AM56" s="75"/>
      <c r="AN56" s="75"/>
      <c r="AO56" s="75"/>
      <c r="AP56" s="75">
        <f>+'[8]FEBRERO 2015'!$N$658</f>
        <v>35000000</v>
      </c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25">
        <f t="shared" ref="BE56:BE87" si="91">1-AI56</f>
        <v>0</v>
      </c>
      <c r="BF56" s="75">
        <f t="shared" si="51"/>
        <v>0</v>
      </c>
      <c r="BG56" s="75">
        <f t="shared" si="52"/>
        <v>0</v>
      </c>
      <c r="BH56" s="75">
        <f t="shared" si="87"/>
        <v>0</v>
      </c>
      <c r="BI56" s="75">
        <f t="shared" si="82"/>
        <v>0</v>
      </c>
      <c r="BJ56" s="75">
        <f t="shared" si="83"/>
        <v>0</v>
      </c>
      <c r="BK56" s="75"/>
      <c r="BL56" s="75">
        <f t="shared" si="54"/>
        <v>0</v>
      </c>
      <c r="BM56" s="75">
        <f t="shared" si="55"/>
        <v>0</v>
      </c>
      <c r="BN56" s="75"/>
      <c r="BO56" s="75">
        <f>+V56-AS56</f>
        <v>0</v>
      </c>
      <c r="BP56" s="75">
        <f>+W56-AT56</f>
        <v>0</v>
      </c>
      <c r="BQ56" s="75">
        <f>+X56-AU56</f>
        <v>0</v>
      </c>
      <c r="BR56" s="75">
        <f t="shared" si="89"/>
        <v>0</v>
      </c>
      <c r="BS56" s="75">
        <f t="shared" si="89"/>
        <v>0</v>
      </c>
      <c r="BT56" s="75">
        <f t="shared" si="89"/>
        <v>0</v>
      </c>
      <c r="BU56" s="75">
        <f>+AB56-AY56</f>
        <v>0</v>
      </c>
      <c r="BV56" s="75">
        <f t="shared" si="90"/>
        <v>0</v>
      </c>
      <c r="BW56" s="75">
        <f t="shared" si="90"/>
        <v>0</v>
      </c>
      <c r="BX56" s="75">
        <f>+AE56-BB56</f>
        <v>0</v>
      </c>
      <c r="BY56" s="75">
        <f>+AF56-BC56</f>
        <v>0</v>
      </c>
      <c r="BZ56" s="75">
        <f t="shared" si="63"/>
        <v>0</v>
      </c>
      <c r="CA56" s="25">
        <f t="shared" si="81"/>
        <v>0.84746265714285718</v>
      </c>
      <c r="CB56" s="75">
        <f t="shared" si="64"/>
        <v>29661193</v>
      </c>
      <c r="CC56" s="75"/>
      <c r="CD56" s="75"/>
      <c r="CE56" s="75"/>
      <c r="CF56" s="75"/>
      <c r="CG56" s="75"/>
      <c r="CH56" s="75">
        <f>+'[6]JUNIO 2015'!$H$1373</f>
        <v>29661193</v>
      </c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121">
        <f t="shared" si="65"/>
        <v>0.15253734285714282</v>
      </c>
      <c r="CX56" s="75">
        <f t="shared" si="66"/>
        <v>5338807</v>
      </c>
      <c r="CY56" s="75"/>
      <c r="CZ56" s="75"/>
      <c r="DA56" s="75"/>
      <c r="DB56" s="75">
        <f t="shared" si="86"/>
        <v>0</v>
      </c>
      <c r="DC56" s="75"/>
      <c r="DD56" s="75">
        <f t="shared" si="68"/>
        <v>5338807</v>
      </c>
      <c r="DE56" s="75">
        <f t="shared" si="69"/>
        <v>0</v>
      </c>
      <c r="DF56" s="75"/>
      <c r="DG56" s="75">
        <f t="shared" si="70"/>
        <v>0</v>
      </c>
      <c r="DH56" s="75">
        <f t="shared" si="71"/>
        <v>0</v>
      </c>
      <c r="DI56" s="75"/>
      <c r="DJ56" s="75">
        <f t="shared" si="72"/>
        <v>0</v>
      </c>
      <c r="DK56" s="75">
        <f t="shared" si="73"/>
        <v>0</v>
      </c>
      <c r="DL56" s="75">
        <f t="shared" si="74"/>
        <v>0</v>
      </c>
      <c r="DM56" s="75">
        <f t="shared" si="75"/>
        <v>0</v>
      </c>
      <c r="DN56" s="75">
        <f t="shared" si="76"/>
        <v>0</v>
      </c>
      <c r="DO56" s="75">
        <f t="shared" si="77"/>
        <v>0</v>
      </c>
      <c r="DP56" s="75">
        <f t="shared" si="78"/>
        <v>0</v>
      </c>
      <c r="DQ56" s="75"/>
      <c r="DR56" s="75">
        <f t="shared" si="79"/>
        <v>0</v>
      </c>
    </row>
    <row r="57" spans="1:123" ht="30" hidden="1" customHeight="1" x14ac:dyDescent="0.25">
      <c r="A57" s="226"/>
      <c r="B57" s="81"/>
      <c r="C57" s="82" t="s">
        <v>329</v>
      </c>
      <c r="D57" s="81" t="s">
        <v>328</v>
      </c>
      <c r="E57" s="97">
        <v>410</v>
      </c>
      <c r="F57" s="78" t="s">
        <v>214</v>
      </c>
      <c r="G57" s="229"/>
      <c r="H57" s="79">
        <f t="shared" si="47"/>
        <v>7013333</v>
      </c>
      <c r="I57" s="79">
        <f t="shared" si="48"/>
        <v>7986667</v>
      </c>
      <c r="J57" s="78"/>
      <c r="K57" s="78"/>
      <c r="L57" s="78"/>
      <c r="M57" s="75">
        <f t="shared" si="49"/>
        <v>15000000</v>
      </c>
      <c r="N57" s="45"/>
      <c r="O57" s="75"/>
      <c r="P57" s="75"/>
      <c r="Q57" s="75"/>
      <c r="R57" s="75"/>
      <c r="S57" s="75">
        <v>15000000</v>
      </c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I57" s="25">
        <f t="shared" si="80"/>
        <v>1</v>
      </c>
      <c r="AJ57" s="75">
        <f t="shared" si="50"/>
        <v>15000000</v>
      </c>
      <c r="AK57" s="75"/>
      <c r="AL57" s="75"/>
      <c r="AM57" s="75"/>
      <c r="AN57" s="75"/>
      <c r="AO57" s="75"/>
      <c r="AP57" s="75">
        <f>+'[8]FEBRERO 2015'!$G$661</f>
        <v>15000000</v>
      </c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25">
        <f t="shared" si="91"/>
        <v>0</v>
      </c>
      <c r="BF57" s="75">
        <f t="shared" si="51"/>
        <v>0</v>
      </c>
      <c r="BG57" s="75">
        <f t="shared" si="52"/>
        <v>0</v>
      </c>
      <c r="BH57" s="75"/>
      <c r="BI57" s="75">
        <f t="shared" si="82"/>
        <v>0</v>
      </c>
      <c r="BJ57" s="75">
        <f t="shared" si="83"/>
        <v>0</v>
      </c>
      <c r="BK57" s="75"/>
      <c r="BL57" s="75">
        <f t="shared" si="54"/>
        <v>0</v>
      </c>
      <c r="BM57" s="75">
        <f t="shared" si="55"/>
        <v>0</v>
      </c>
      <c r="BN57" s="75"/>
      <c r="BO57" s="75"/>
      <c r="BP57" s="75">
        <f>+W57-AT57</f>
        <v>0</v>
      </c>
      <c r="BQ57" s="75"/>
      <c r="BR57" s="75">
        <f t="shared" si="89"/>
        <v>0</v>
      </c>
      <c r="BS57" s="75">
        <f t="shared" si="89"/>
        <v>0</v>
      </c>
      <c r="BT57" s="75">
        <f t="shared" si="89"/>
        <v>0</v>
      </c>
      <c r="BU57" s="75">
        <f>+AB57-AY57</f>
        <v>0</v>
      </c>
      <c r="BV57" s="75">
        <f t="shared" si="90"/>
        <v>0</v>
      </c>
      <c r="BW57" s="75">
        <f t="shared" si="90"/>
        <v>0</v>
      </c>
      <c r="BX57" s="75"/>
      <c r="BY57" s="75"/>
      <c r="BZ57" s="75">
        <f t="shared" si="63"/>
        <v>0</v>
      </c>
      <c r="CA57" s="25">
        <f t="shared" si="81"/>
        <v>0.46755553333333333</v>
      </c>
      <c r="CB57" s="75">
        <f t="shared" si="64"/>
        <v>7013333</v>
      </c>
      <c r="CC57" s="75"/>
      <c r="CD57" s="75"/>
      <c r="CE57" s="75"/>
      <c r="CF57" s="75"/>
      <c r="CG57" s="75"/>
      <c r="CH57" s="75">
        <f>+'[3]ABRIL 2015'!$H$1057</f>
        <v>7013333</v>
      </c>
      <c r="CI57" s="75"/>
      <c r="CJ57" s="75"/>
      <c r="CK57" s="75"/>
      <c r="CL57" s="75"/>
      <c r="CM57" s="75"/>
      <c r="CN57" s="75"/>
      <c r="CO57" s="75"/>
      <c r="CP57" s="75"/>
      <c r="CQ57" s="75"/>
      <c r="CR57" s="75"/>
      <c r="CS57" s="75"/>
      <c r="CT57" s="75"/>
      <c r="CU57" s="75"/>
      <c r="CV57" s="75"/>
      <c r="CW57" s="121">
        <f t="shared" si="65"/>
        <v>0.53244446666666667</v>
      </c>
      <c r="CX57" s="75">
        <f t="shared" si="66"/>
        <v>7986667</v>
      </c>
      <c r="CY57" s="75"/>
      <c r="CZ57" s="75"/>
      <c r="DA57" s="75"/>
      <c r="DB57" s="75">
        <f t="shared" si="86"/>
        <v>0</v>
      </c>
      <c r="DC57" s="75"/>
      <c r="DD57" s="75">
        <f t="shared" si="68"/>
        <v>7986667</v>
      </c>
      <c r="DE57" s="75">
        <f t="shared" si="69"/>
        <v>0</v>
      </c>
      <c r="DF57" s="75"/>
      <c r="DG57" s="75">
        <f t="shared" si="70"/>
        <v>0</v>
      </c>
      <c r="DH57" s="75">
        <f t="shared" si="71"/>
        <v>0</v>
      </c>
      <c r="DI57" s="75"/>
      <c r="DJ57" s="75">
        <f t="shared" si="72"/>
        <v>0</v>
      </c>
      <c r="DK57" s="75">
        <f t="shared" si="73"/>
        <v>0</v>
      </c>
      <c r="DL57" s="75">
        <f t="shared" si="74"/>
        <v>0</v>
      </c>
      <c r="DM57" s="75">
        <f t="shared" si="75"/>
        <v>0</v>
      </c>
      <c r="DN57" s="75">
        <f t="shared" si="76"/>
        <v>0</v>
      </c>
      <c r="DO57" s="75">
        <f t="shared" si="77"/>
        <v>0</v>
      </c>
      <c r="DP57" s="75">
        <f t="shared" si="78"/>
        <v>0</v>
      </c>
      <c r="DQ57" s="75"/>
      <c r="DR57" s="75">
        <f t="shared" si="79"/>
        <v>0</v>
      </c>
    </row>
    <row r="58" spans="1:123" ht="35.25" hidden="1" customHeight="1" x14ac:dyDescent="0.25">
      <c r="A58" s="226"/>
      <c r="B58" s="81" t="s">
        <v>327</v>
      </c>
      <c r="C58" s="82" t="s">
        <v>326</v>
      </c>
      <c r="D58" s="81" t="s">
        <v>325</v>
      </c>
      <c r="E58" s="97">
        <v>410</v>
      </c>
      <c r="F58" s="78" t="s">
        <v>324</v>
      </c>
      <c r="G58" s="227">
        <v>291000000</v>
      </c>
      <c r="H58" s="79">
        <f t="shared" si="47"/>
        <v>127851140</v>
      </c>
      <c r="I58" s="79">
        <f t="shared" si="48"/>
        <v>215412150</v>
      </c>
      <c r="J58" s="78"/>
      <c r="K58" s="78"/>
      <c r="L58" s="78"/>
      <c r="M58" s="75">
        <f t="shared" si="49"/>
        <v>343263290</v>
      </c>
      <c r="N58" s="45"/>
      <c r="O58" s="75"/>
      <c r="P58" s="75"/>
      <c r="Q58" s="75">
        <f>181000000-87736710+250000000</f>
        <v>343263290</v>
      </c>
      <c r="R58" s="75"/>
      <c r="S58" s="75">
        <f>100000000-100000000</f>
        <v>0</v>
      </c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>
        <f>10455882-10455882</f>
        <v>0</v>
      </c>
      <c r="AI58" s="25">
        <f t="shared" si="80"/>
        <v>1</v>
      </c>
      <c r="AJ58" s="75">
        <f t="shared" si="50"/>
        <v>343263290</v>
      </c>
      <c r="AK58" s="75"/>
      <c r="AL58" s="75"/>
      <c r="AM58" s="75"/>
      <c r="AN58" s="75">
        <f>+'[6]JUNIO 2015'!$M$1391</f>
        <v>343263290</v>
      </c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25">
        <f t="shared" si="91"/>
        <v>0</v>
      </c>
      <c r="BF58" s="75">
        <f t="shared" si="51"/>
        <v>0</v>
      </c>
      <c r="BG58" s="75">
        <f t="shared" si="52"/>
        <v>0</v>
      </c>
      <c r="BH58" s="75"/>
      <c r="BI58" s="75">
        <f t="shared" si="82"/>
        <v>0</v>
      </c>
      <c r="BJ58" s="75">
        <f t="shared" si="83"/>
        <v>0</v>
      </c>
      <c r="BK58" s="75"/>
      <c r="BL58" s="75">
        <f t="shared" si="54"/>
        <v>0</v>
      </c>
      <c r="BM58" s="75">
        <f t="shared" si="55"/>
        <v>0</v>
      </c>
      <c r="BN58" s="75"/>
      <c r="BO58" s="75"/>
      <c r="BP58" s="75">
        <f>+W58-AT58</f>
        <v>0</v>
      </c>
      <c r="BQ58" s="75"/>
      <c r="BR58" s="75">
        <f t="shared" si="89"/>
        <v>0</v>
      </c>
      <c r="BS58" s="75">
        <f t="shared" si="89"/>
        <v>0</v>
      </c>
      <c r="BT58" s="75">
        <f t="shared" si="89"/>
        <v>0</v>
      </c>
      <c r="BU58" s="75">
        <f>+AB58-AY58</f>
        <v>0</v>
      </c>
      <c r="BV58" s="75">
        <f t="shared" si="90"/>
        <v>0</v>
      </c>
      <c r="BW58" s="75">
        <f t="shared" si="90"/>
        <v>0</v>
      </c>
      <c r="BX58" s="75"/>
      <c r="BY58" s="75"/>
      <c r="BZ58" s="75">
        <f t="shared" si="63"/>
        <v>0</v>
      </c>
      <c r="CA58" s="25">
        <f t="shared" si="81"/>
        <v>0.37245794620217038</v>
      </c>
      <c r="CB58" s="75">
        <f t="shared" si="64"/>
        <v>127851140</v>
      </c>
      <c r="CC58" s="75"/>
      <c r="CD58" s="75"/>
      <c r="CE58" s="75"/>
      <c r="CF58" s="75">
        <f>+'[1]AGOSTO 2015'!$H$1817</f>
        <v>127851140</v>
      </c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121">
        <f t="shared" si="65"/>
        <v>0.62754205379782957</v>
      </c>
      <c r="CX58" s="75">
        <f t="shared" si="66"/>
        <v>215412150</v>
      </c>
      <c r="CY58" s="75"/>
      <c r="CZ58" s="75"/>
      <c r="DA58" s="75"/>
      <c r="DB58" s="75">
        <f t="shared" si="86"/>
        <v>215412150</v>
      </c>
      <c r="DC58" s="75"/>
      <c r="DD58" s="75">
        <f t="shared" si="68"/>
        <v>0</v>
      </c>
      <c r="DE58" s="75">
        <f t="shared" si="69"/>
        <v>0</v>
      </c>
      <c r="DF58" s="75"/>
      <c r="DG58" s="75">
        <f t="shared" si="70"/>
        <v>0</v>
      </c>
      <c r="DH58" s="75">
        <f t="shared" si="71"/>
        <v>0</v>
      </c>
      <c r="DI58" s="75"/>
      <c r="DJ58" s="75">
        <f t="shared" si="72"/>
        <v>0</v>
      </c>
      <c r="DK58" s="75">
        <f t="shared" si="73"/>
        <v>0</v>
      </c>
      <c r="DL58" s="75">
        <f t="shared" si="74"/>
        <v>0</v>
      </c>
      <c r="DM58" s="75">
        <f t="shared" si="75"/>
        <v>0</v>
      </c>
      <c r="DN58" s="75">
        <f t="shared" si="76"/>
        <v>0</v>
      </c>
      <c r="DO58" s="75">
        <f t="shared" si="77"/>
        <v>0</v>
      </c>
      <c r="DP58" s="75">
        <f t="shared" si="78"/>
        <v>0</v>
      </c>
      <c r="DQ58" s="75"/>
      <c r="DR58" s="75">
        <f t="shared" si="79"/>
        <v>0</v>
      </c>
    </row>
    <row r="59" spans="1:123" ht="33" hidden="1" customHeight="1" x14ac:dyDescent="0.25">
      <c r="A59" s="226"/>
      <c r="B59" s="81"/>
      <c r="C59" s="82" t="s">
        <v>323</v>
      </c>
      <c r="D59" s="81" t="s">
        <v>322</v>
      </c>
      <c r="E59" s="97">
        <v>410</v>
      </c>
      <c r="F59" s="78" t="s">
        <v>74</v>
      </c>
      <c r="G59" s="229"/>
      <c r="H59" s="79">
        <f t="shared" si="47"/>
        <v>0</v>
      </c>
      <c r="I59" s="79">
        <f t="shared" si="48"/>
        <v>2000000</v>
      </c>
      <c r="J59" s="78"/>
      <c r="K59" s="78"/>
      <c r="L59" s="78"/>
      <c r="M59" s="75">
        <f t="shared" si="49"/>
        <v>2000000</v>
      </c>
      <c r="N59" s="45"/>
      <c r="O59" s="115"/>
      <c r="P59" s="115"/>
      <c r="Q59" s="75"/>
      <c r="R59" s="75"/>
      <c r="S59" s="11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>
        <f>2000000</f>
        <v>2000000</v>
      </c>
      <c r="AI59" s="25">
        <f t="shared" si="80"/>
        <v>1</v>
      </c>
      <c r="AJ59" s="75">
        <f t="shared" si="50"/>
        <v>2000000</v>
      </c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>
        <f>+'[2]JULIO 2015'!$G$1634</f>
        <v>2000000</v>
      </c>
      <c r="BE59" s="25">
        <f t="shared" si="91"/>
        <v>0</v>
      </c>
      <c r="BF59" s="75">
        <f t="shared" si="51"/>
        <v>0</v>
      </c>
      <c r="BG59" s="75"/>
      <c r="BH59" s="75"/>
      <c r="BI59" s="75">
        <f t="shared" ref="BI59:BI66" si="92">P59-AM59</f>
        <v>0</v>
      </c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>
        <f t="shared" si="63"/>
        <v>0</v>
      </c>
      <c r="CA59" s="25">
        <f t="shared" si="81"/>
        <v>0</v>
      </c>
      <c r="CB59" s="75">
        <f t="shared" si="64"/>
        <v>0</v>
      </c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121">
        <f t="shared" si="65"/>
        <v>1</v>
      </c>
      <c r="CX59" s="75">
        <f t="shared" si="66"/>
        <v>2000000</v>
      </c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>
        <f t="shared" si="79"/>
        <v>2000000</v>
      </c>
    </row>
    <row r="60" spans="1:123" ht="36" hidden="1" customHeight="1" x14ac:dyDescent="0.25">
      <c r="A60" s="226"/>
      <c r="B60" s="81" t="s">
        <v>321</v>
      </c>
      <c r="C60" s="82" t="s">
        <v>320</v>
      </c>
      <c r="D60" s="81" t="s">
        <v>319</v>
      </c>
      <c r="E60" s="97">
        <v>410</v>
      </c>
      <c r="F60" s="78" t="s">
        <v>214</v>
      </c>
      <c r="G60" s="78">
        <v>300000000</v>
      </c>
      <c r="H60" s="79">
        <f t="shared" si="47"/>
        <v>201318782</v>
      </c>
      <c r="I60" s="79">
        <f t="shared" si="48"/>
        <v>21499955</v>
      </c>
      <c r="J60" s="78"/>
      <c r="K60" s="78"/>
      <c r="L60" s="78"/>
      <c r="M60" s="75">
        <f t="shared" si="49"/>
        <v>222818737</v>
      </c>
      <c r="N60" s="45"/>
      <c r="O60" s="115">
        <f>55819123-55819123</f>
        <v>0</v>
      </c>
      <c r="P60" s="115"/>
      <c r="Q60" s="75">
        <f>150000000-21362140</f>
        <v>128637860</v>
      </c>
      <c r="R60" s="75"/>
      <c r="S60" s="115">
        <f>150000000-55819123+20000000-20000000</f>
        <v>94180877</v>
      </c>
      <c r="T60" s="45"/>
      <c r="U60" s="45"/>
      <c r="V60" s="4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I60" s="25">
        <f t="shared" si="80"/>
        <v>1</v>
      </c>
      <c r="AJ60" s="75">
        <f t="shared" si="50"/>
        <v>222818737</v>
      </c>
      <c r="AK60" s="75"/>
      <c r="AL60" s="75"/>
      <c r="AM60" s="75"/>
      <c r="AN60" s="75">
        <f>+'[6]JUNIO 2015'!$M$1412</f>
        <v>128637860</v>
      </c>
      <c r="AO60" s="75"/>
      <c r="AP60" s="75">
        <f>+'[6]JUNIO 2015'!$O$1412</f>
        <v>94180877</v>
      </c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25">
        <f t="shared" si="91"/>
        <v>0</v>
      </c>
      <c r="BF60" s="75">
        <f t="shared" si="51"/>
        <v>0</v>
      </c>
      <c r="BG60" s="75">
        <f t="shared" ref="BG60:BG66" si="93">+N60-AK60</f>
        <v>0</v>
      </c>
      <c r="BH60" s="75">
        <f>O60-AL60</f>
        <v>0</v>
      </c>
      <c r="BI60" s="75">
        <f t="shared" si="92"/>
        <v>0</v>
      </c>
      <c r="BJ60" s="75">
        <f t="shared" ref="BJ60:BJ66" si="94">Q60-AN60</f>
        <v>0</v>
      </c>
      <c r="BK60" s="75"/>
      <c r="BL60" s="75">
        <f t="shared" ref="BL60:BM66" si="95">+S60-AP60</f>
        <v>0</v>
      </c>
      <c r="BM60" s="75">
        <f t="shared" si="95"/>
        <v>0</v>
      </c>
      <c r="BN60" s="75"/>
      <c r="BO60" s="75"/>
      <c r="BP60" s="75">
        <f t="shared" ref="BP60:BP66" si="96">+W60-AT60</f>
        <v>0</v>
      </c>
      <c r="BQ60" s="75"/>
      <c r="BR60" s="75">
        <f t="shared" ref="BR60:BW66" si="97">+Y60-AV60</f>
        <v>0</v>
      </c>
      <c r="BS60" s="75">
        <f t="shared" si="97"/>
        <v>0</v>
      </c>
      <c r="BT60" s="75">
        <f t="shared" si="97"/>
        <v>0</v>
      </c>
      <c r="BU60" s="75">
        <f t="shared" si="97"/>
        <v>0</v>
      </c>
      <c r="BV60" s="75">
        <f t="shared" si="97"/>
        <v>0</v>
      </c>
      <c r="BW60" s="75">
        <f t="shared" si="97"/>
        <v>0</v>
      </c>
      <c r="BX60" s="75"/>
      <c r="BY60" s="75"/>
      <c r="BZ60" s="75">
        <f t="shared" si="63"/>
        <v>0</v>
      </c>
      <c r="CA60" s="25">
        <f t="shared" si="81"/>
        <v>0.90350921430813069</v>
      </c>
      <c r="CB60" s="75">
        <f t="shared" si="64"/>
        <v>201318782</v>
      </c>
      <c r="CC60" s="75"/>
      <c r="CD60" s="75"/>
      <c r="CE60" s="75"/>
      <c r="CF60" s="75">
        <f>+'[1]AGOSTO 2015'!$H$1852</f>
        <v>128637860</v>
      </c>
      <c r="CG60" s="75"/>
      <c r="CH60" s="75">
        <f>+'[1]AGOSTO 2015'!$H$1842+'[1]AGOSTO 2015'!$H$1859</f>
        <v>72680922</v>
      </c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121">
        <f t="shared" si="65"/>
        <v>9.6490785691869307E-2</v>
      </c>
      <c r="CX60" s="75">
        <f t="shared" si="66"/>
        <v>21499955</v>
      </c>
      <c r="CY60" s="75"/>
      <c r="CZ60" s="75">
        <f>O60-CD60</f>
        <v>0</v>
      </c>
      <c r="DA60" s="75">
        <f>P60-CE60</f>
        <v>0</v>
      </c>
      <c r="DB60" s="75">
        <f>Q60-CF60</f>
        <v>0</v>
      </c>
      <c r="DC60" s="75"/>
      <c r="DD60" s="75">
        <f t="shared" ref="DD60:DE66" si="98">S60-CH60</f>
        <v>21499955</v>
      </c>
      <c r="DE60" s="75">
        <f t="shared" si="98"/>
        <v>0</v>
      </c>
      <c r="DF60" s="75"/>
      <c r="DG60" s="75">
        <f t="shared" ref="DG60:DH66" si="99">+V60-CK60</f>
        <v>0</v>
      </c>
      <c r="DH60" s="75">
        <f t="shared" si="99"/>
        <v>0</v>
      </c>
      <c r="DI60" s="75"/>
      <c r="DJ60" s="75">
        <f t="shared" ref="DJ60:DL66" si="100">Y60-CN60</f>
        <v>0</v>
      </c>
      <c r="DK60" s="75">
        <f t="shared" si="100"/>
        <v>0</v>
      </c>
      <c r="DL60" s="75">
        <f t="shared" si="100"/>
        <v>0</v>
      </c>
      <c r="DM60" s="75">
        <f t="shared" ref="DM60:DP66" si="101">+AB60-CQ60</f>
        <v>0</v>
      </c>
      <c r="DN60" s="75">
        <f t="shared" si="101"/>
        <v>0</v>
      </c>
      <c r="DO60" s="75">
        <f t="shared" si="101"/>
        <v>0</v>
      </c>
      <c r="DP60" s="75">
        <f t="shared" si="101"/>
        <v>0</v>
      </c>
      <c r="DQ60" s="75"/>
      <c r="DR60" s="75">
        <f t="shared" si="79"/>
        <v>0</v>
      </c>
      <c r="DS60" s="68"/>
    </row>
    <row r="61" spans="1:123" ht="27.75" hidden="1" customHeight="1" x14ac:dyDescent="0.25">
      <c r="A61" s="226"/>
      <c r="B61" s="81" t="s">
        <v>318</v>
      </c>
      <c r="C61" s="82" t="s">
        <v>317</v>
      </c>
      <c r="D61" s="81" t="s">
        <v>316</v>
      </c>
      <c r="E61" s="97">
        <v>410</v>
      </c>
      <c r="F61" s="78" t="s">
        <v>315</v>
      </c>
      <c r="G61" s="227">
        <v>225000000</v>
      </c>
      <c r="H61" s="79">
        <f t="shared" si="47"/>
        <v>0</v>
      </c>
      <c r="I61" s="79">
        <f t="shared" si="48"/>
        <v>5000000</v>
      </c>
      <c r="J61" s="78"/>
      <c r="K61" s="78"/>
      <c r="L61" s="78"/>
      <c r="M61" s="75">
        <f t="shared" si="49"/>
        <v>5000000</v>
      </c>
      <c r="N61" s="45"/>
      <c r="O61" s="45"/>
      <c r="P61" s="45"/>
      <c r="Q61" s="75"/>
      <c r="R61" s="75"/>
      <c r="S61" s="45"/>
      <c r="T61" s="45"/>
      <c r="U61" s="45"/>
      <c r="V61" s="4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>
        <f>5000000</f>
        <v>5000000</v>
      </c>
      <c r="AI61" s="25">
        <f t="shared" si="80"/>
        <v>1</v>
      </c>
      <c r="AJ61" s="75">
        <f t="shared" si="50"/>
        <v>5000000</v>
      </c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>
        <f>+'[8]FEBRERO 2015'!$AC$685</f>
        <v>5000000</v>
      </c>
      <c r="BE61" s="25">
        <f t="shared" si="91"/>
        <v>0</v>
      </c>
      <c r="BF61" s="75">
        <f t="shared" si="51"/>
        <v>0</v>
      </c>
      <c r="BG61" s="75">
        <f t="shared" si="93"/>
        <v>0</v>
      </c>
      <c r="BH61" s="75"/>
      <c r="BI61" s="75">
        <f t="shared" si="92"/>
        <v>0</v>
      </c>
      <c r="BJ61" s="75">
        <f t="shared" si="94"/>
        <v>0</v>
      </c>
      <c r="BK61" s="75"/>
      <c r="BL61" s="75">
        <f t="shared" si="95"/>
        <v>0</v>
      </c>
      <c r="BM61" s="75">
        <f t="shared" si="95"/>
        <v>0</v>
      </c>
      <c r="BN61" s="75"/>
      <c r="BO61" s="75"/>
      <c r="BP61" s="75">
        <f t="shared" si="96"/>
        <v>0</v>
      </c>
      <c r="BQ61" s="75"/>
      <c r="BR61" s="75">
        <f t="shared" si="97"/>
        <v>0</v>
      </c>
      <c r="BS61" s="75">
        <f t="shared" si="97"/>
        <v>0</v>
      </c>
      <c r="BT61" s="75">
        <f t="shared" si="97"/>
        <v>0</v>
      </c>
      <c r="BU61" s="75">
        <f t="shared" si="97"/>
        <v>0</v>
      </c>
      <c r="BV61" s="75">
        <f t="shared" si="97"/>
        <v>0</v>
      </c>
      <c r="BW61" s="75">
        <f t="shared" si="97"/>
        <v>0</v>
      </c>
      <c r="BX61" s="75"/>
      <c r="BY61" s="75"/>
      <c r="BZ61" s="75">
        <f t="shared" si="63"/>
        <v>0</v>
      </c>
      <c r="CA61" s="25">
        <f t="shared" si="81"/>
        <v>0</v>
      </c>
      <c r="CB61" s="75">
        <f t="shared" si="64"/>
        <v>0</v>
      </c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121">
        <f t="shared" si="65"/>
        <v>1</v>
      </c>
      <c r="CX61" s="75">
        <f t="shared" si="66"/>
        <v>5000000</v>
      </c>
      <c r="CY61" s="75"/>
      <c r="CZ61" s="75"/>
      <c r="DA61" s="75"/>
      <c r="DB61" s="75">
        <f t="shared" ref="DB61:DB66" si="102">Q61-CF61</f>
        <v>0</v>
      </c>
      <c r="DC61" s="75"/>
      <c r="DD61" s="75">
        <f t="shared" si="98"/>
        <v>0</v>
      </c>
      <c r="DE61" s="75">
        <f t="shared" si="98"/>
        <v>0</v>
      </c>
      <c r="DF61" s="75"/>
      <c r="DG61" s="75">
        <f t="shared" si="99"/>
        <v>0</v>
      </c>
      <c r="DH61" s="75">
        <f t="shared" si="99"/>
        <v>0</v>
      </c>
      <c r="DI61" s="75"/>
      <c r="DJ61" s="75">
        <f t="shared" si="100"/>
        <v>0</v>
      </c>
      <c r="DK61" s="75">
        <f t="shared" si="100"/>
        <v>0</v>
      </c>
      <c r="DL61" s="75">
        <f t="shared" si="100"/>
        <v>0</v>
      </c>
      <c r="DM61" s="75">
        <f t="shared" si="101"/>
        <v>0</v>
      </c>
      <c r="DN61" s="75">
        <f t="shared" si="101"/>
        <v>0</v>
      </c>
      <c r="DO61" s="75">
        <f t="shared" si="101"/>
        <v>0</v>
      </c>
      <c r="DP61" s="75">
        <f t="shared" si="101"/>
        <v>0</v>
      </c>
      <c r="DQ61" s="75"/>
      <c r="DR61" s="75">
        <f t="shared" si="79"/>
        <v>5000000</v>
      </c>
    </row>
    <row r="62" spans="1:123" ht="50.25" hidden="1" customHeight="1" x14ac:dyDescent="0.25">
      <c r="A62" s="226"/>
      <c r="B62" s="81"/>
      <c r="C62" s="82" t="s">
        <v>314</v>
      </c>
      <c r="D62" s="81" t="s">
        <v>313</v>
      </c>
      <c r="E62" s="97">
        <v>410</v>
      </c>
      <c r="F62" s="78" t="s">
        <v>270</v>
      </c>
      <c r="G62" s="228"/>
      <c r="H62" s="79">
        <f t="shared" si="47"/>
        <v>45655090</v>
      </c>
      <c r="I62" s="79">
        <f t="shared" si="48"/>
        <v>44344910</v>
      </c>
      <c r="J62" s="78"/>
      <c r="K62" s="78"/>
      <c r="L62" s="78"/>
      <c r="M62" s="75">
        <f t="shared" si="49"/>
        <v>90000000</v>
      </c>
      <c r="N62" s="45"/>
      <c r="O62" s="45"/>
      <c r="P62" s="45"/>
      <c r="Q62" s="75"/>
      <c r="R62" s="75"/>
      <c r="S62" s="45"/>
      <c r="T62" s="45"/>
      <c r="U62" s="45"/>
      <c r="V62" s="45"/>
      <c r="W62" s="75"/>
      <c r="X62" s="75"/>
      <c r="Y62" s="75"/>
      <c r="Z62" s="75"/>
      <c r="AA62" s="75"/>
      <c r="AB62" s="75">
        <v>15000000</v>
      </c>
      <c r="AC62" s="75">
        <f>105000000-30000000</f>
        <v>75000000</v>
      </c>
      <c r="AD62" s="75"/>
      <c r="AE62" s="75"/>
      <c r="AF62" s="75"/>
      <c r="AG62" s="75"/>
      <c r="AI62" s="25">
        <f t="shared" si="80"/>
        <v>1</v>
      </c>
      <c r="AJ62" s="75">
        <f t="shared" si="50"/>
        <v>90000000</v>
      </c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>
        <f>+'[5]FEBRERO 2015'!$W$740</f>
        <v>15000000</v>
      </c>
      <c r="AZ62" s="75">
        <v>75000000</v>
      </c>
      <c r="BA62" s="75"/>
      <c r="BB62" s="75"/>
      <c r="BC62" s="75"/>
      <c r="BD62" s="75"/>
      <c r="BE62" s="25">
        <f t="shared" si="91"/>
        <v>0</v>
      </c>
      <c r="BF62" s="75">
        <f t="shared" si="51"/>
        <v>0</v>
      </c>
      <c r="BG62" s="75">
        <f t="shared" si="93"/>
        <v>0</v>
      </c>
      <c r="BH62" s="75"/>
      <c r="BI62" s="75">
        <f t="shared" si="92"/>
        <v>0</v>
      </c>
      <c r="BJ62" s="75">
        <f t="shared" si="94"/>
        <v>0</v>
      </c>
      <c r="BK62" s="75"/>
      <c r="BL62" s="75">
        <f t="shared" si="95"/>
        <v>0</v>
      </c>
      <c r="BM62" s="75">
        <f t="shared" si="95"/>
        <v>0</v>
      </c>
      <c r="BN62" s="75"/>
      <c r="BO62" s="75"/>
      <c r="BP62" s="75">
        <f t="shared" si="96"/>
        <v>0</v>
      </c>
      <c r="BQ62" s="75"/>
      <c r="BR62" s="75">
        <f t="shared" si="97"/>
        <v>0</v>
      </c>
      <c r="BS62" s="75">
        <f t="shared" si="97"/>
        <v>0</v>
      </c>
      <c r="BT62" s="75">
        <f t="shared" si="97"/>
        <v>0</v>
      </c>
      <c r="BU62" s="75">
        <f t="shared" si="97"/>
        <v>0</v>
      </c>
      <c r="BV62" s="75">
        <f t="shared" si="97"/>
        <v>0</v>
      </c>
      <c r="BW62" s="75">
        <f t="shared" si="97"/>
        <v>0</v>
      </c>
      <c r="BX62" s="75"/>
      <c r="BY62" s="75"/>
      <c r="BZ62" s="75">
        <f t="shared" si="63"/>
        <v>0</v>
      </c>
      <c r="CA62" s="25">
        <f t="shared" si="81"/>
        <v>0.50727877777777775</v>
      </c>
      <c r="CB62" s="75">
        <f t="shared" si="64"/>
        <v>45655090</v>
      </c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>
        <f>+'[3]ABRIL 2015'!$H$1101</f>
        <v>15000000</v>
      </c>
      <c r="CR62" s="75">
        <f>+'[1]AGOSTO 2015'!$H$1873</f>
        <v>30655090</v>
      </c>
      <c r="CS62" s="75"/>
      <c r="CT62" s="75"/>
      <c r="CU62" s="75"/>
      <c r="CV62" s="75"/>
      <c r="CW62" s="121">
        <f t="shared" si="65"/>
        <v>0.49272122222222225</v>
      </c>
      <c r="CX62" s="75">
        <f t="shared" si="66"/>
        <v>44344910</v>
      </c>
      <c r="CY62" s="75"/>
      <c r="CZ62" s="75"/>
      <c r="DA62" s="75"/>
      <c r="DB62" s="75">
        <f t="shared" si="102"/>
        <v>0</v>
      </c>
      <c r="DC62" s="75"/>
      <c r="DD62" s="75">
        <f t="shared" si="98"/>
        <v>0</v>
      </c>
      <c r="DE62" s="75">
        <f t="shared" si="98"/>
        <v>0</v>
      </c>
      <c r="DF62" s="75"/>
      <c r="DG62" s="75">
        <f t="shared" si="99"/>
        <v>0</v>
      </c>
      <c r="DH62" s="75">
        <f t="shared" si="99"/>
        <v>0</v>
      </c>
      <c r="DI62" s="75"/>
      <c r="DJ62" s="75">
        <f t="shared" si="100"/>
        <v>0</v>
      </c>
      <c r="DK62" s="75">
        <f t="shared" si="100"/>
        <v>0</v>
      </c>
      <c r="DL62" s="75">
        <f t="shared" si="100"/>
        <v>0</v>
      </c>
      <c r="DM62" s="75">
        <f t="shared" si="101"/>
        <v>0</v>
      </c>
      <c r="DN62" s="75">
        <f t="shared" si="101"/>
        <v>44344910</v>
      </c>
      <c r="DO62" s="75">
        <f t="shared" si="101"/>
        <v>0</v>
      </c>
      <c r="DP62" s="75">
        <f t="shared" si="101"/>
        <v>0</v>
      </c>
      <c r="DQ62" s="75"/>
      <c r="DR62" s="75">
        <f t="shared" si="79"/>
        <v>0</v>
      </c>
    </row>
    <row r="63" spans="1:123" ht="39" hidden="1" customHeight="1" x14ac:dyDescent="0.25">
      <c r="A63" s="226"/>
      <c r="B63" s="81"/>
      <c r="C63" s="82" t="s">
        <v>312</v>
      </c>
      <c r="D63" s="81" t="s">
        <v>311</v>
      </c>
      <c r="E63" s="97">
        <v>410</v>
      </c>
      <c r="F63" s="78" t="s">
        <v>270</v>
      </c>
      <c r="G63" s="228"/>
      <c r="H63" s="79">
        <f t="shared" si="47"/>
        <v>3078500</v>
      </c>
      <c r="I63" s="79">
        <f t="shared" si="48"/>
        <v>1921500</v>
      </c>
      <c r="J63" s="78"/>
      <c r="K63" s="78"/>
      <c r="L63" s="78"/>
      <c r="M63" s="75">
        <f t="shared" si="49"/>
        <v>5000000</v>
      </c>
      <c r="N63" s="45"/>
      <c r="O63" s="45"/>
      <c r="P63" s="45"/>
      <c r="Q63" s="75"/>
      <c r="R63" s="75"/>
      <c r="S63" s="45"/>
      <c r="T63" s="45"/>
      <c r="U63" s="45"/>
      <c r="V63" s="45"/>
      <c r="W63" s="75"/>
      <c r="X63" s="75"/>
      <c r="Y63" s="75"/>
      <c r="Z63" s="75"/>
      <c r="AA63" s="75"/>
      <c r="AB63" s="75"/>
      <c r="AC63" s="75">
        <v>5000000</v>
      </c>
      <c r="AD63" s="75"/>
      <c r="AE63" s="75"/>
      <c r="AF63" s="75"/>
      <c r="AG63" s="75"/>
      <c r="AI63" s="25">
        <f t="shared" si="80"/>
        <v>1</v>
      </c>
      <c r="AJ63" s="75">
        <f t="shared" si="50"/>
        <v>5000000</v>
      </c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>
        <f>+'[8]FEBRERO 2015'!$X$695</f>
        <v>5000000</v>
      </c>
      <c r="BA63" s="75"/>
      <c r="BB63" s="75"/>
      <c r="BC63" s="75"/>
      <c r="BD63" s="75"/>
      <c r="BE63" s="25">
        <f t="shared" si="91"/>
        <v>0</v>
      </c>
      <c r="BF63" s="75">
        <f t="shared" si="51"/>
        <v>0</v>
      </c>
      <c r="BG63" s="75">
        <f t="shared" si="93"/>
        <v>0</v>
      </c>
      <c r="BH63" s="75"/>
      <c r="BI63" s="75">
        <f t="shared" si="92"/>
        <v>0</v>
      </c>
      <c r="BJ63" s="75">
        <f t="shared" si="94"/>
        <v>0</v>
      </c>
      <c r="BK63" s="75"/>
      <c r="BL63" s="75">
        <f t="shared" si="95"/>
        <v>0</v>
      </c>
      <c r="BM63" s="75">
        <f t="shared" si="95"/>
        <v>0</v>
      </c>
      <c r="BN63" s="75"/>
      <c r="BO63" s="75"/>
      <c r="BP63" s="75">
        <f t="shared" si="96"/>
        <v>0</v>
      </c>
      <c r="BQ63" s="75"/>
      <c r="BR63" s="75">
        <f t="shared" si="97"/>
        <v>0</v>
      </c>
      <c r="BS63" s="75">
        <f t="shared" si="97"/>
        <v>0</v>
      </c>
      <c r="BT63" s="75">
        <f t="shared" si="97"/>
        <v>0</v>
      </c>
      <c r="BU63" s="75">
        <f t="shared" si="97"/>
        <v>0</v>
      </c>
      <c r="BV63" s="75">
        <f t="shared" si="97"/>
        <v>0</v>
      </c>
      <c r="BW63" s="75">
        <f t="shared" si="97"/>
        <v>0</v>
      </c>
      <c r="BX63" s="75"/>
      <c r="BY63" s="75"/>
      <c r="BZ63" s="75">
        <f t="shared" si="63"/>
        <v>0</v>
      </c>
      <c r="CA63" s="25">
        <f t="shared" si="81"/>
        <v>0.61570000000000003</v>
      </c>
      <c r="CB63" s="75">
        <f t="shared" si="64"/>
        <v>3078500</v>
      </c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>
        <f>+'[3]ABRIL 2015'!$H$1104</f>
        <v>3078500</v>
      </c>
      <c r="CS63" s="75"/>
      <c r="CT63" s="75"/>
      <c r="CU63" s="75"/>
      <c r="CV63" s="75"/>
      <c r="CW63" s="121">
        <f t="shared" si="65"/>
        <v>0.38429999999999997</v>
      </c>
      <c r="CX63" s="75">
        <f t="shared" si="66"/>
        <v>1921500</v>
      </c>
      <c r="CY63" s="75"/>
      <c r="CZ63" s="75"/>
      <c r="DA63" s="75"/>
      <c r="DB63" s="75">
        <f t="shared" si="102"/>
        <v>0</v>
      </c>
      <c r="DC63" s="75"/>
      <c r="DD63" s="75">
        <f t="shared" si="98"/>
        <v>0</v>
      </c>
      <c r="DE63" s="75">
        <f t="shared" si="98"/>
        <v>0</v>
      </c>
      <c r="DF63" s="75"/>
      <c r="DG63" s="75">
        <f t="shared" si="99"/>
        <v>0</v>
      </c>
      <c r="DH63" s="75">
        <f t="shared" si="99"/>
        <v>0</v>
      </c>
      <c r="DI63" s="75"/>
      <c r="DJ63" s="75">
        <f t="shared" si="100"/>
        <v>0</v>
      </c>
      <c r="DK63" s="75">
        <f t="shared" si="100"/>
        <v>0</v>
      </c>
      <c r="DL63" s="75">
        <f t="shared" si="100"/>
        <v>0</v>
      </c>
      <c r="DM63" s="75">
        <f t="shared" si="101"/>
        <v>0</v>
      </c>
      <c r="DN63" s="75">
        <f t="shared" si="101"/>
        <v>1921500</v>
      </c>
      <c r="DO63" s="75">
        <f t="shared" si="101"/>
        <v>0</v>
      </c>
      <c r="DP63" s="75">
        <f t="shared" si="101"/>
        <v>0</v>
      </c>
      <c r="DQ63" s="75"/>
      <c r="DR63" s="75">
        <f t="shared" si="79"/>
        <v>0</v>
      </c>
    </row>
    <row r="64" spans="1:123" ht="51" hidden="1" customHeight="1" x14ac:dyDescent="0.25">
      <c r="A64" s="226"/>
      <c r="B64" s="81"/>
      <c r="C64" s="82" t="s">
        <v>310</v>
      </c>
      <c r="D64" s="81" t="s">
        <v>309</v>
      </c>
      <c r="E64" s="97">
        <v>410</v>
      </c>
      <c r="F64" s="78" t="s">
        <v>308</v>
      </c>
      <c r="G64" s="228"/>
      <c r="H64" s="79">
        <f t="shared" si="47"/>
        <v>17499959</v>
      </c>
      <c r="I64" s="79">
        <f t="shared" si="48"/>
        <v>46500041</v>
      </c>
      <c r="J64" s="78"/>
      <c r="K64" s="78"/>
      <c r="L64" s="78"/>
      <c r="M64" s="75">
        <f t="shared" si="49"/>
        <v>64000000</v>
      </c>
      <c r="N64" s="45"/>
      <c r="O64" s="45"/>
      <c r="P64" s="45"/>
      <c r="Q64" s="45"/>
      <c r="R64" s="45"/>
      <c r="S64" s="45"/>
      <c r="T64" s="45"/>
      <c r="U64" s="45"/>
      <c r="V64" s="45"/>
      <c r="W64" s="75"/>
      <c r="X64" s="75"/>
      <c r="Y64" s="75"/>
      <c r="Z64" s="75"/>
      <c r="AA64" s="75"/>
      <c r="AB64" s="75">
        <v>15000000</v>
      </c>
      <c r="AC64" s="75">
        <f>55000000-10000000</f>
        <v>45000000</v>
      </c>
      <c r="AD64" s="75"/>
      <c r="AE64" s="75"/>
      <c r="AF64" s="75"/>
      <c r="AG64" s="75">
        <f>4000000</f>
        <v>4000000</v>
      </c>
      <c r="AI64" s="25">
        <f t="shared" si="80"/>
        <v>1</v>
      </c>
      <c r="AJ64" s="75">
        <f t="shared" si="50"/>
        <v>64000000</v>
      </c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>
        <f>+'[5]FEBRERO 2015'!$W$753</f>
        <v>15000000</v>
      </c>
      <c r="AZ64" s="75">
        <f>+'[6]JUNIO 2015'!$Y$1453</f>
        <v>45000000</v>
      </c>
      <c r="BA64" s="75"/>
      <c r="BB64" s="75"/>
      <c r="BC64" s="75"/>
      <c r="BD64" s="75">
        <f>+'[2]JULIO 2015'!$AD$1691</f>
        <v>4000000</v>
      </c>
      <c r="BE64" s="25">
        <f t="shared" si="91"/>
        <v>0</v>
      </c>
      <c r="BF64" s="75">
        <f t="shared" si="51"/>
        <v>0</v>
      </c>
      <c r="BG64" s="75">
        <f t="shared" si="93"/>
        <v>0</v>
      </c>
      <c r="BH64" s="75"/>
      <c r="BI64" s="75">
        <f t="shared" si="92"/>
        <v>0</v>
      </c>
      <c r="BJ64" s="75">
        <f t="shared" si="94"/>
        <v>0</v>
      </c>
      <c r="BK64" s="75"/>
      <c r="BL64" s="75">
        <f t="shared" si="95"/>
        <v>0</v>
      </c>
      <c r="BM64" s="75">
        <f t="shared" si="95"/>
        <v>0</v>
      </c>
      <c r="BN64" s="75"/>
      <c r="BO64" s="75"/>
      <c r="BP64" s="75">
        <f t="shared" si="96"/>
        <v>0</v>
      </c>
      <c r="BQ64" s="75"/>
      <c r="BR64" s="75">
        <f t="shared" si="97"/>
        <v>0</v>
      </c>
      <c r="BS64" s="75">
        <f t="shared" si="97"/>
        <v>0</v>
      </c>
      <c r="BT64" s="75">
        <f t="shared" si="97"/>
        <v>0</v>
      </c>
      <c r="BU64" s="75">
        <f t="shared" si="97"/>
        <v>0</v>
      </c>
      <c r="BV64" s="75">
        <f t="shared" si="97"/>
        <v>0</v>
      </c>
      <c r="BW64" s="75">
        <f t="shared" si="97"/>
        <v>0</v>
      </c>
      <c r="BX64" s="75"/>
      <c r="BY64" s="75"/>
      <c r="BZ64" s="75">
        <f t="shared" si="63"/>
        <v>0</v>
      </c>
      <c r="CA64" s="25">
        <f t="shared" si="81"/>
        <v>0.27343685937500001</v>
      </c>
      <c r="CB64" s="75">
        <f t="shared" si="64"/>
        <v>17499959</v>
      </c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>
        <f>+'[2]JULIO 2015'!$H$1694</f>
        <v>14408959</v>
      </c>
      <c r="CR64" s="75">
        <f>+'[3]ABRIL 2015'!$H$1115</f>
        <v>3091000</v>
      </c>
      <c r="CS64" s="75"/>
      <c r="CT64" s="75"/>
      <c r="CU64" s="75"/>
      <c r="CV64" s="75"/>
      <c r="CW64" s="121">
        <f t="shared" si="65"/>
        <v>0.72656314062499994</v>
      </c>
      <c r="CX64" s="75">
        <f t="shared" si="66"/>
        <v>46500041</v>
      </c>
      <c r="CY64" s="75"/>
      <c r="CZ64" s="75"/>
      <c r="DA64" s="75"/>
      <c r="DB64" s="75">
        <f t="shared" si="102"/>
        <v>0</v>
      </c>
      <c r="DC64" s="75"/>
      <c r="DD64" s="75">
        <f t="shared" si="98"/>
        <v>0</v>
      </c>
      <c r="DE64" s="75">
        <f t="shared" si="98"/>
        <v>0</v>
      </c>
      <c r="DF64" s="75"/>
      <c r="DG64" s="75">
        <f t="shared" si="99"/>
        <v>0</v>
      </c>
      <c r="DH64" s="75">
        <f t="shared" si="99"/>
        <v>0</v>
      </c>
      <c r="DI64" s="75"/>
      <c r="DJ64" s="75">
        <f t="shared" si="100"/>
        <v>0</v>
      </c>
      <c r="DK64" s="75">
        <f t="shared" si="100"/>
        <v>0</v>
      </c>
      <c r="DL64" s="75">
        <f t="shared" si="100"/>
        <v>0</v>
      </c>
      <c r="DM64" s="75">
        <f t="shared" si="101"/>
        <v>591041</v>
      </c>
      <c r="DN64" s="75">
        <f t="shared" si="101"/>
        <v>41909000</v>
      </c>
      <c r="DO64" s="75">
        <f t="shared" si="101"/>
        <v>0</v>
      </c>
      <c r="DP64" s="75">
        <f t="shared" si="101"/>
        <v>0</v>
      </c>
      <c r="DQ64" s="75"/>
      <c r="DR64" s="75">
        <f t="shared" si="79"/>
        <v>4000000</v>
      </c>
    </row>
    <row r="65" spans="1:122" ht="36" hidden="1" customHeight="1" x14ac:dyDescent="0.25">
      <c r="A65" s="226"/>
      <c r="B65" s="81"/>
      <c r="C65" s="82" t="s">
        <v>307</v>
      </c>
      <c r="D65" s="81" t="s">
        <v>306</v>
      </c>
      <c r="E65" s="97">
        <v>410</v>
      </c>
      <c r="F65" s="78" t="s">
        <v>270</v>
      </c>
      <c r="G65" s="228"/>
      <c r="H65" s="79">
        <f t="shared" si="47"/>
        <v>10299628</v>
      </c>
      <c r="I65" s="79">
        <f t="shared" si="48"/>
        <v>29700372</v>
      </c>
      <c r="J65" s="78"/>
      <c r="K65" s="78"/>
      <c r="L65" s="78"/>
      <c r="M65" s="75">
        <f t="shared" si="49"/>
        <v>40000000</v>
      </c>
      <c r="N65" s="45"/>
      <c r="O65" s="45"/>
      <c r="P65" s="45"/>
      <c r="Q65" s="45"/>
      <c r="R65" s="45"/>
      <c r="S65" s="45"/>
      <c r="T65" s="45"/>
      <c r="U65" s="45"/>
      <c r="V65" s="45"/>
      <c r="W65" s="75"/>
      <c r="X65" s="75"/>
      <c r="Y65" s="75"/>
      <c r="Z65" s="75"/>
      <c r="AA65" s="75">
        <v>21280016</v>
      </c>
      <c r="AB65" s="75">
        <v>15000000</v>
      </c>
      <c r="AC65" s="75">
        <f>13719984-10000000</f>
        <v>3719984</v>
      </c>
      <c r="AD65" s="75"/>
      <c r="AE65" s="75"/>
      <c r="AF65" s="75"/>
      <c r="AG65" s="75"/>
      <c r="AI65" s="25">
        <f t="shared" si="80"/>
        <v>0.75</v>
      </c>
      <c r="AJ65" s="75">
        <f t="shared" si="50"/>
        <v>30000000</v>
      </c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>
        <f>+'[6]JUNIO 2015'!$W$1466</f>
        <v>11280016</v>
      </c>
      <c r="AY65" s="75">
        <f>+'[5]FEBRERO 2015'!$W$759</f>
        <v>15000000</v>
      </c>
      <c r="AZ65" s="75">
        <v>3719984</v>
      </c>
      <c r="BA65" s="75"/>
      <c r="BB65" s="75"/>
      <c r="BC65" s="75"/>
      <c r="BD65" s="75"/>
      <c r="BE65" s="25">
        <f t="shared" si="91"/>
        <v>0.25</v>
      </c>
      <c r="BF65" s="75">
        <f t="shared" si="51"/>
        <v>10000000</v>
      </c>
      <c r="BG65" s="75">
        <f t="shared" si="93"/>
        <v>0</v>
      </c>
      <c r="BH65" s="75"/>
      <c r="BI65" s="75">
        <f t="shared" si="92"/>
        <v>0</v>
      </c>
      <c r="BJ65" s="75">
        <f t="shared" si="94"/>
        <v>0</v>
      </c>
      <c r="BK65" s="75"/>
      <c r="BL65" s="75">
        <f t="shared" si="95"/>
        <v>0</v>
      </c>
      <c r="BM65" s="75">
        <f t="shared" si="95"/>
        <v>0</v>
      </c>
      <c r="BN65" s="75"/>
      <c r="BO65" s="75"/>
      <c r="BP65" s="75">
        <f t="shared" si="96"/>
        <v>0</v>
      </c>
      <c r="BQ65" s="75"/>
      <c r="BR65" s="75">
        <f t="shared" si="97"/>
        <v>0</v>
      </c>
      <c r="BS65" s="75">
        <f t="shared" si="97"/>
        <v>0</v>
      </c>
      <c r="BT65" s="75">
        <f t="shared" si="97"/>
        <v>10000000</v>
      </c>
      <c r="BU65" s="75">
        <f t="shared" si="97"/>
        <v>0</v>
      </c>
      <c r="BV65" s="75">
        <f t="shared" si="97"/>
        <v>0</v>
      </c>
      <c r="BW65" s="75">
        <f t="shared" si="97"/>
        <v>0</v>
      </c>
      <c r="BX65" s="75"/>
      <c r="BY65" s="75"/>
      <c r="BZ65" s="75">
        <f t="shared" si="63"/>
        <v>0</v>
      </c>
      <c r="CA65" s="25">
        <f t="shared" si="81"/>
        <v>0.25749070000000002</v>
      </c>
      <c r="CB65" s="75">
        <f t="shared" si="64"/>
        <v>10299628</v>
      </c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>
        <f>+'[3]ABRIL 2015'!$H$1128</f>
        <v>4466293</v>
      </c>
      <c r="CQ65" s="75">
        <f>+'[2]JULIO 2015'!$H$1726</f>
        <v>5833335</v>
      </c>
      <c r="CR65" s="75"/>
      <c r="CS65" s="75"/>
      <c r="CT65" s="75"/>
      <c r="CU65" s="75"/>
      <c r="CV65" s="75"/>
      <c r="CW65" s="121">
        <f t="shared" si="65"/>
        <v>0.74250930000000004</v>
      </c>
      <c r="CX65" s="75">
        <f t="shared" si="66"/>
        <v>29700372</v>
      </c>
      <c r="CY65" s="75"/>
      <c r="CZ65" s="75"/>
      <c r="DA65" s="75"/>
      <c r="DB65" s="75">
        <f t="shared" si="102"/>
        <v>0</v>
      </c>
      <c r="DC65" s="75"/>
      <c r="DD65" s="75">
        <f t="shared" si="98"/>
        <v>0</v>
      </c>
      <c r="DE65" s="75">
        <f t="shared" si="98"/>
        <v>0</v>
      </c>
      <c r="DF65" s="75"/>
      <c r="DG65" s="75">
        <f t="shared" si="99"/>
        <v>0</v>
      </c>
      <c r="DH65" s="75">
        <f t="shared" si="99"/>
        <v>0</v>
      </c>
      <c r="DI65" s="75"/>
      <c r="DJ65" s="75">
        <f t="shared" si="100"/>
        <v>0</v>
      </c>
      <c r="DK65" s="75">
        <f t="shared" si="100"/>
        <v>0</v>
      </c>
      <c r="DL65" s="75">
        <f t="shared" si="100"/>
        <v>16813723</v>
      </c>
      <c r="DM65" s="75">
        <f t="shared" si="101"/>
        <v>9166665</v>
      </c>
      <c r="DN65" s="75">
        <f t="shared" si="101"/>
        <v>3719984</v>
      </c>
      <c r="DO65" s="75">
        <f t="shared" si="101"/>
        <v>0</v>
      </c>
      <c r="DP65" s="75">
        <f t="shared" si="101"/>
        <v>0</v>
      </c>
      <c r="DQ65" s="75"/>
      <c r="DR65" s="75">
        <f t="shared" si="79"/>
        <v>0</v>
      </c>
    </row>
    <row r="66" spans="1:122" ht="39.75" hidden="1" customHeight="1" x14ac:dyDescent="0.25">
      <c r="A66" s="239"/>
      <c r="B66" s="81"/>
      <c r="C66" s="82" t="s">
        <v>305</v>
      </c>
      <c r="D66" s="81" t="s">
        <v>304</v>
      </c>
      <c r="E66" s="97">
        <v>410</v>
      </c>
      <c r="F66" s="78" t="s">
        <v>303</v>
      </c>
      <c r="G66" s="229"/>
      <c r="H66" s="79">
        <f t="shared" si="47"/>
        <v>8000000</v>
      </c>
      <c r="I66" s="79">
        <f t="shared" si="48"/>
        <v>8437254</v>
      </c>
      <c r="J66" s="78"/>
      <c r="K66" s="78"/>
      <c r="L66" s="78"/>
      <c r="M66" s="75">
        <f t="shared" si="49"/>
        <v>16437254</v>
      </c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24"/>
      <c r="Z66" s="45"/>
      <c r="AA66" s="45"/>
      <c r="AB66" s="45"/>
      <c r="AC66" s="45"/>
      <c r="AD66" s="45"/>
      <c r="AE66" s="45"/>
      <c r="AF66" s="45"/>
      <c r="AG66" s="75">
        <f>20437254-4000000</f>
        <v>16437254</v>
      </c>
      <c r="AI66" s="25">
        <f t="shared" si="80"/>
        <v>1</v>
      </c>
      <c r="AJ66" s="75">
        <f t="shared" si="50"/>
        <v>16437254</v>
      </c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>
        <v>16437254</v>
      </c>
      <c r="BE66" s="25">
        <f t="shared" si="91"/>
        <v>0</v>
      </c>
      <c r="BF66" s="75">
        <f t="shared" si="51"/>
        <v>0</v>
      </c>
      <c r="BG66" s="75">
        <f t="shared" si="93"/>
        <v>0</v>
      </c>
      <c r="BH66" s="75"/>
      <c r="BI66" s="75">
        <f t="shared" si="92"/>
        <v>0</v>
      </c>
      <c r="BJ66" s="75">
        <f t="shared" si="94"/>
        <v>0</v>
      </c>
      <c r="BK66" s="75"/>
      <c r="BL66" s="75">
        <f t="shared" si="95"/>
        <v>0</v>
      </c>
      <c r="BM66" s="75">
        <f t="shared" si="95"/>
        <v>0</v>
      </c>
      <c r="BN66" s="75"/>
      <c r="BO66" s="75">
        <f>+V66-AS66</f>
        <v>0</v>
      </c>
      <c r="BP66" s="75">
        <f t="shared" si="96"/>
        <v>0</v>
      </c>
      <c r="BQ66" s="75">
        <f>+X66-AU66</f>
        <v>0</v>
      </c>
      <c r="BR66" s="75">
        <f t="shared" si="97"/>
        <v>0</v>
      </c>
      <c r="BS66" s="75">
        <f t="shared" si="97"/>
        <v>0</v>
      </c>
      <c r="BT66" s="75">
        <f t="shared" si="97"/>
        <v>0</v>
      </c>
      <c r="BU66" s="75">
        <f t="shared" si="97"/>
        <v>0</v>
      </c>
      <c r="BV66" s="75">
        <f t="shared" si="97"/>
        <v>0</v>
      </c>
      <c r="BW66" s="75">
        <f t="shared" si="97"/>
        <v>0</v>
      </c>
      <c r="BX66" s="75">
        <f>+AE66-BB66</f>
        <v>0</v>
      </c>
      <c r="BY66" s="75">
        <f>+AF66-BC66</f>
        <v>0</v>
      </c>
      <c r="BZ66" s="75">
        <f t="shared" si="63"/>
        <v>0</v>
      </c>
      <c r="CA66" s="25">
        <f t="shared" si="81"/>
        <v>0.48669929904350201</v>
      </c>
      <c r="CB66" s="75">
        <f t="shared" si="64"/>
        <v>8000000</v>
      </c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>
        <f>+'[5]FEBRERO 2015'!$H$763</f>
        <v>8000000</v>
      </c>
      <c r="CW66" s="121">
        <f t="shared" si="65"/>
        <v>0.51330070095649805</v>
      </c>
      <c r="CX66" s="75">
        <f t="shared" si="66"/>
        <v>8437254</v>
      </c>
      <c r="CY66" s="75"/>
      <c r="CZ66" s="75">
        <f>O66-CD66</f>
        <v>0</v>
      </c>
      <c r="DA66" s="75"/>
      <c r="DB66" s="75">
        <f t="shared" si="102"/>
        <v>0</v>
      </c>
      <c r="DC66" s="75"/>
      <c r="DD66" s="75">
        <f t="shared" si="98"/>
        <v>0</v>
      </c>
      <c r="DE66" s="75">
        <f t="shared" si="98"/>
        <v>0</v>
      </c>
      <c r="DF66" s="75"/>
      <c r="DG66" s="75">
        <f t="shared" si="99"/>
        <v>0</v>
      </c>
      <c r="DH66" s="75">
        <f t="shared" si="99"/>
        <v>0</v>
      </c>
      <c r="DI66" s="75"/>
      <c r="DJ66" s="75">
        <f t="shared" si="100"/>
        <v>0</v>
      </c>
      <c r="DK66" s="75">
        <f t="shared" si="100"/>
        <v>0</v>
      </c>
      <c r="DL66" s="75">
        <f t="shared" si="100"/>
        <v>0</v>
      </c>
      <c r="DM66" s="75">
        <f t="shared" si="101"/>
        <v>0</v>
      </c>
      <c r="DN66" s="75">
        <f t="shared" si="101"/>
        <v>0</v>
      </c>
      <c r="DO66" s="75">
        <f t="shared" si="101"/>
        <v>0</v>
      </c>
      <c r="DP66" s="75">
        <f t="shared" si="101"/>
        <v>0</v>
      </c>
      <c r="DQ66" s="75"/>
      <c r="DR66" s="75">
        <f t="shared" si="79"/>
        <v>8437254</v>
      </c>
    </row>
    <row r="67" spans="1:122" s="68" customFormat="1" ht="22.5" customHeight="1" thickTop="1" thickBot="1" x14ac:dyDescent="0.3">
      <c r="A67" s="124"/>
      <c r="B67" s="271" t="s">
        <v>567</v>
      </c>
      <c r="C67" s="272"/>
      <c r="D67" s="272"/>
      <c r="E67" s="273"/>
      <c r="F67" s="181"/>
      <c r="G67" s="69">
        <f>SUM(G35:G66)</f>
        <v>4593000000</v>
      </c>
      <c r="H67" s="69">
        <f>SUM(H35:H66)</f>
        <v>3115857051</v>
      </c>
      <c r="I67" s="69">
        <f>SUM(I35:I66)</f>
        <v>3366660918</v>
      </c>
      <c r="J67" s="122"/>
      <c r="K67" s="122"/>
      <c r="L67" s="122"/>
      <c r="M67" s="69">
        <f t="shared" ref="M67:AG67" si="103">SUM(M35:M66)</f>
        <v>6482517969</v>
      </c>
      <c r="N67" s="69">
        <f t="shared" si="103"/>
        <v>0</v>
      </c>
      <c r="O67" s="69">
        <f t="shared" si="103"/>
        <v>134533656</v>
      </c>
      <c r="P67" s="69">
        <f t="shared" si="103"/>
        <v>396726534</v>
      </c>
      <c r="Q67" s="69">
        <f t="shared" si="103"/>
        <v>775722031</v>
      </c>
      <c r="R67" s="69">
        <f t="shared" si="103"/>
        <v>0</v>
      </c>
      <c r="S67" s="69">
        <f t="shared" si="103"/>
        <v>544180877</v>
      </c>
      <c r="T67" s="69">
        <f t="shared" si="103"/>
        <v>55000000</v>
      </c>
      <c r="U67" s="69">
        <f t="shared" si="103"/>
        <v>102810569</v>
      </c>
      <c r="V67" s="69">
        <f t="shared" si="103"/>
        <v>219471348</v>
      </c>
      <c r="W67" s="69">
        <f t="shared" si="103"/>
        <v>0</v>
      </c>
      <c r="X67" s="69">
        <f t="shared" si="103"/>
        <v>0</v>
      </c>
      <c r="Y67" s="69">
        <f t="shared" si="103"/>
        <v>0</v>
      </c>
      <c r="Z67" s="69">
        <f t="shared" si="103"/>
        <v>3504013680</v>
      </c>
      <c r="AA67" s="69">
        <f t="shared" si="103"/>
        <v>78609139</v>
      </c>
      <c r="AB67" s="69">
        <f t="shared" si="103"/>
        <v>251718083</v>
      </c>
      <c r="AC67" s="69">
        <f t="shared" si="103"/>
        <v>261973650</v>
      </c>
      <c r="AD67" s="69">
        <f t="shared" si="103"/>
        <v>0</v>
      </c>
      <c r="AE67" s="69">
        <f t="shared" si="103"/>
        <v>80844085</v>
      </c>
      <c r="AF67" s="69">
        <f t="shared" si="103"/>
        <v>0</v>
      </c>
      <c r="AG67" s="69">
        <f t="shared" si="103"/>
        <v>76914317</v>
      </c>
      <c r="AI67" s="121">
        <f t="shared" si="80"/>
        <v>0.81929652943473397</v>
      </c>
      <c r="AJ67" s="69">
        <f t="shared" ref="AJ67:BD67" si="104">SUM(AJ35:AJ66)</f>
        <v>5311104474</v>
      </c>
      <c r="AK67" s="69">
        <f t="shared" si="104"/>
        <v>0</v>
      </c>
      <c r="AL67" s="69">
        <f t="shared" si="104"/>
        <v>133268976</v>
      </c>
      <c r="AM67" s="69">
        <f t="shared" si="104"/>
        <v>396726534</v>
      </c>
      <c r="AN67" s="69">
        <f t="shared" si="104"/>
        <v>775722031</v>
      </c>
      <c r="AO67" s="69">
        <f t="shared" si="104"/>
        <v>0</v>
      </c>
      <c r="AP67" s="69">
        <f t="shared" si="104"/>
        <v>544180877</v>
      </c>
      <c r="AQ67" s="69">
        <f t="shared" si="104"/>
        <v>55000000</v>
      </c>
      <c r="AR67" s="69">
        <f t="shared" si="104"/>
        <v>102810569</v>
      </c>
      <c r="AS67" s="69">
        <f t="shared" si="104"/>
        <v>219471348</v>
      </c>
      <c r="AT67" s="69">
        <f t="shared" si="104"/>
        <v>0</v>
      </c>
      <c r="AU67" s="69">
        <f t="shared" si="104"/>
        <v>0</v>
      </c>
      <c r="AV67" s="69">
        <f t="shared" si="104"/>
        <v>0</v>
      </c>
      <c r="AW67" s="69">
        <f t="shared" si="104"/>
        <v>2385795017</v>
      </c>
      <c r="AX67" s="69">
        <f t="shared" si="104"/>
        <v>68609139</v>
      </c>
      <c r="AY67" s="69">
        <f t="shared" si="104"/>
        <v>235765054</v>
      </c>
      <c r="AZ67" s="69">
        <f t="shared" si="104"/>
        <v>261973590</v>
      </c>
      <c r="BA67" s="69">
        <f t="shared" si="104"/>
        <v>0</v>
      </c>
      <c r="BB67" s="69">
        <f t="shared" si="104"/>
        <v>80844085</v>
      </c>
      <c r="BC67" s="69">
        <f t="shared" si="104"/>
        <v>0</v>
      </c>
      <c r="BD67" s="69">
        <f t="shared" si="104"/>
        <v>50937254</v>
      </c>
      <c r="BE67" s="121">
        <f t="shared" si="91"/>
        <v>0.18070347056526603</v>
      </c>
      <c r="BF67" s="69">
        <f t="shared" ref="BF67:BZ67" si="105">SUM(BF35:BF66)</f>
        <v>1171413495</v>
      </c>
      <c r="BG67" s="69">
        <f t="shared" si="105"/>
        <v>0</v>
      </c>
      <c r="BH67" s="69">
        <f t="shared" si="105"/>
        <v>1264680</v>
      </c>
      <c r="BI67" s="69">
        <f t="shared" si="105"/>
        <v>0</v>
      </c>
      <c r="BJ67" s="69">
        <f t="shared" si="105"/>
        <v>0</v>
      </c>
      <c r="BK67" s="69">
        <f t="shared" si="105"/>
        <v>0</v>
      </c>
      <c r="BL67" s="69">
        <f t="shared" si="105"/>
        <v>0</v>
      </c>
      <c r="BM67" s="69">
        <f t="shared" si="105"/>
        <v>0</v>
      </c>
      <c r="BN67" s="69">
        <f t="shared" si="105"/>
        <v>0</v>
      </c>
      <c r="BO67" s="69">
        <f t="shared" si="105"/>
        <v>0</v>
      </c>
      <c r="BP67" s="69">
        <f t="shared" si="105"/>
        <v>0</v>
      </c>
      <c r="BQ67" s="69">
        <f t="shared" si="105"/>
        <v>0</v>
      </c>
      <c r="BR67" s="69">
        <f t="shared" si="105"/>
        <v>0</v>
      </c>
      <c r="BS67" s="69">
        <f t="shared" si="105"/>
        <v>1118218663</v>
      </c>
      <c r="BT67" s="69">
        <f t="shared" si="105"/>
        <v>10000000</v>
      </c>
      <c r="BU67" s="69">
        <f t="shared" si="105"/>
        <v>15953029</v>
      </c>
      <c r="BV67" s="69">
        <f t="shared" si="105"/>
        <v>60</v>
      </c>
      <c r="BW67" s="69">
        <f t="shared" si="105"/>
        <v>0</v>
      </c>
      <c r="BX67" s="69">
        <f t="shared" si="105"/>
        <v>0</v>
      </c>
      <c r="BY67" s="69">
        <f t="shared" si="105"/>
        <v>0</v>
      </c>
      <c r="BZ67" s="69">
        <f t="shared" si="105"/>
        <v>25977063</v>
      </c>
      <c r="CA67" s="121">
        <f t="shared" si="81"/>
        <v>0.48065536661839064</v>
      </c>
      <c r="CB67" s="69">
        <f t="shared" ref="CB67:CV67" si="106">SUM(CB35:CB66)</f>
        <v>3115857051</v>
      </c>
      <c r="CC67" s="69">
        <f t="shared" si="106"/>
        <v>0</v>
      </c>
      <c r="CD67" s="69">
        <f t="shared" si="106"/>
        <v>133268976</v>
      </c>
      <c r="CE67" s="69">
        <f t="shared" si="106"/>
        <v>396726534</v>
      </c>
      <c r="CF67" s="69">
        <f t="shared" si="106"/>
        <v>560309881</v>
      </c>
      <c r="CG67" s="69">
        <f t="shared" si="106"/>
        <v>0</v>
      </c>
      <c r="CH67" s="69">
        <f t="shared" si="106"/>
        <v>373292464</v>
      </c>
      <c r="CI67" s="69">
        <f t="shared" si="106"/>
        <v>36214247</v>
      </c>
      <c r="CJ67" s="69">
        <f t="shared" si="106"/>
        <v>102810569</v>
      </c>
      <c r="CK67" s="69">
        <f t="shared" si="106"/>
        <v>127534316</v>
      </c>
      <c r="CL67" s="69">
        <f t="shared" si="106"/>
        <v>0</v>
      </c>
      <c r="CM67" s="69">
        <f t="shared" si="106"/>
        <v>0</v>
      </c>
      <c r="CN67" s="69">
        <f t="shared" si="106"/>
        <v>0</v>
      </c>
      <c r="CO67" s="69">
        <f t="shared" si="106"/>
        <v>1103661099</v>
      </c>
      <c r="CP67" s="69">
        <f t="shared" si="106"/>
        <v>48706082</v>
      </c>
      <c r="CQ67" s="69">
        <f t="shared" si="106"/>
        <v>136779453</v>
      </c>
      <c r="CR67" s="69">
        <f t="shared" si="106"/>
        <v>56878541</v>
      </c>
      <c r="CS67" s="69">
        <f t="shared" si="106"/>
        <v>0</v>
      </c>
      <c r="CT67" s="69">
        <f t="shared" si="106"/>
        <v>25815097</v>
      </c>
      <c r="CU67" s="69">
        <f t="shared" si="106"/>
        <v>0</v>
      </c>
      <c r="CV67" s="69">
        <f t="shared" si="106"/>
        <v>13859792</v>
      </c>
      <c r="CW67" s="121">
        <f t="shared" si="65"/>
        <v>0.51934463338160941</v>
      </c>
      <c r="CX67" s="69">
        <f t="shared" ref="CX67:DR67" si="107">SUM(CX35:CX66)</f>
        <v>3366660918</v>
      </c>
      <c r="CY67" s="69">
        <f t="shared" si="107"/>
        <v>0</v>
      </c>
      <c r="CZ67" s="69">
        <f t="shared" si="107"/>
        <v>1264680</v>
      </c>
      <c r="DA67" s="69">
        <f t="shared" si="107"/>
        <v>0</v>
      </c>
      <c r="DB67" s="69">
        <f t="shared" si="107"/>
        <v>215412150</v>
      </c>
      <c r="DC67" s="69">
        <f t="shared" si="107"/>
        <v>0</v>
      </c>
      <c r="DD67" s="69">
        <f t="shared" si="107"/>
        <v>170888413</v>
      </c>
      <c r="DE67" s="69">
        <f t="shared" si="107"/>
        <v>18785753</v>
      </c>
      <c r="DF67" s="69">
        <f t="shared" si="107"/>
        <v>0</v>
      </c>
      <c r="DG67" s="69">
        <f t="shared" si="107"/>
        <v>91937032</v>
      </c>
      <c r="DH67" s="69">
        <f t="shared" si="107"/>
        <v>0</v>
      </c>
      <c r="DI67" s="69">
        <f t="shared" si="107"/>
        <v>0</v>
      </c>
      <c r="DJ67" s="69">
        <f t="shared" si="107"/>
        <v>0</v>
      </c>
      <c r="DK67" s="69">
        <f t="shared" si="107"/>
        <v>2400352581</v>
      </c>
      <c r="DL67" s="69">
        <f t="shared" si="107"/>
        <v>29903057</v>
      </c>
      <c r="DM67" s="69">
        <f t="shared" si="107"/>
        <v>114938630</v>
      </c>
      <c r="DN67" s="69">
        <f t="shared" si="107"/>
        <v>205095109</v>
      </c>
      <c r="DO67" s="69">
        <f t="shared" si="107"/>
        <v>0</v>
      </c>
      <c r="DP67" s="69">
        <f t="shared" si="107"/>
        <v>55028988</v>
      </c>
      <c r="DQ67" s="69">
        <f t="shared" si="107"/>
        <v>0</v>
      </c>
      <c r="DR67" s="120">
        <f t="shared" si="107"/>
        <v>63054525</v>
      </c>
    </row>
    <row r="68" spans="1:122" ht="54" hidden="1" customHeight="1" thickTop="1" x14ac:dyDescent="0.3">
      <c r="A68" s="242" t="s">
        <v>301</v>
      </c>
      <c r="B68" s="271" t="s">
        <v>300</v>
      </c>
      <c r="C68" s="272" t="s">
        <v>299</v>
      </c>
      <c r="D68" s="272" t="s">
        <v>298</v>
      </c>
      <c r="E68" s="273">
        <v>520</v>
      </c>
      <c r="F68" s="181" t="s">
        <v>297</v>
      </c>
      <c r="G68" s="240">
        <v>331000000</v>
      </c>
      <c r="H68" s="79">
        <f t="shared" ref="H68:H102" si="108">+CB68</f>
        <v>837000</v>
      </c>
      <c r="I68" s="79">
        <f t="shared" ref="I68:I102" si="109">M68-H68</f>
        <v>2163000</v>
      </c>
      <c r="J68" s="78"/>
      <c r="K68" s="78"/>
      <c r="L68" s="78"/>
      <c r="M68" s="75">
        <f t="shared" ref="M68:M102" si="110">SUM(N68:AG68)</f>
        <v>3000000</v>
      </c>
      <c r="N68" s="4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>
        <f>2000000+1000000</f>
        <v>3000000</v>
      </c>
      <c r="AI68" s="25">
        <f t="shared" ref="AI68:AI99" si="111">+AJ68/M68</f>
        <v>1</v>
      </c>
      <c r="AJ68" s="75">
        <f t="shared" ref="AJ68:AJ102" si="112">SUM(AK68:BD68)</f>
        <v>3000000</v>
      </c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>
        <f>+'[2]JULIO 2015'!$AD$2136</f>
        <v>3000000</v>
      </c>
      <c r="BE68" s="25">
        <f t="shared" si="91"/>
        <v>0</v>
      </c>
      <c r="BF68" s="75">
        <f t="shared" ref="BF68:BF102" si="113">SUM(BG68:BZ68)</f>
        <v>0</v>
      </c>
      <c r="BG68" s="75">
        <f t="shared" ref="BG68:BG102" si="114">+N68-AK68</f>
        <v>0</v>
      </c>
      <c r="BH68" s="75">
        <f t="shared" ref="BH68:BH102" si="115">O68-AL68</f>
        <v>0</v>
      </c>
      <c r="BI68" s="75"/>
      <c r="BJ68" s="75">
        <f t="shared" ref="BJ68:BJ102" si="116">Q68-AN68</f>
        <v>0</v>
      </c>
      <c r="BK68" s="75"/>
      <c r="BL68" s="75">
        <f t="shared" ref="BL68:BL102" si="117">+S68-AP68</f>
        <v>0</v>
      </c>
      <c r="BM68" s="75">
        <f t="shared" ref="BM68:BM102" si="118">+T68-AQ68</f>
        <v>0</v>
      </c>
      <c r="BN68" s="75"/>
      <c r="BO68" s="75">
        <f t="shared" ref="BO68:BW68" si="119">+V68-AS68</f>
        <v>0</v>
      </c>
      <c r="BP68" s="75">
        <f t="shared" si="119"/>
        <v>0</v>
      </c>
      <c r="BQ68" s="75">
        <f t="shared" si="119"/>
        <v>0</v>
      </c>
      <c r="BR68" s="75">
        <f t="shared" si="119"/>
        <v>0</v>
      </c>
      <c r="BS68" s="75">
        <f t="shared" si="119"/>
        <v>0</v>
      </c>
      <c r="BT68" s="75">
        <f t="shared" si="119"/>
        <v>0</v>
      </c>
      <c r="BU68" s="75">
        <f t="shared" si="119"/>
        <v>0</v>
      </c>
      <c r="BV68" s="75">
        <f t="shared" si="119"/>
        <v>0</v>
      </c>
      <c r="BW68" s="75">
        <f t="shared" si="119"/>
        <v>0</v>
      </c>
      <c r="BX68" s="75"/>
      <c r="BY68" s="75"/>
      <c r="BZ68" s="75">
        <f t="shared" ref="BZ68:BZ102" si="120">+AG68-BD68</f>
        <v>0</v>
      </c>
      <c r="CA68" s="25">
        <f t="shared" ref="CA68:CA99" si="121">+CB68/M68</f>
        <v>0.27900000000000003</v>
      </c>
      <c r="CB68" s="75">
        <f t="shared" ref="CB68:CB102" si="122">SUM(CC68:CV68)</f>
        <v>837000</v>
      </c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  <c r="CR68" s="75"/>
      <c r="CS68" s="75"/>
      <c r="CT68" s="75"/>
      <c r="CU68" s="75"/>
      <c r="CV68" s="75">
        <f>+'[2]JULIO 2015'!$H$2134</f>
        <v>837000</v>
      </c>
      <c r="CW68" s="25">
        <f t="shared" ref="CW68:CW103" si="123">1-CA68</f>
        <v>0.72099999999999997</v>
      </c>
      <c r="CX68" s="75">
        <f t="shared" ref="CX68:CX102" si="124">SUM(CY68:DR68)</f>
        <v>2163000</v>
      </c>
      <c r="CY68" s="75"/>
      <c r="CZ68" s="75"/>
      <c r="DA68" s="75"/>
      <c r="DB68" s="75">
        <f t="shared" ref="DB68:DB102" si="125">Q68-CF68</f>
        <v>0</v>
      </c>
      <c r="DC68" s="75"/>
      <c r="DD68" s="75">
        <f t="shared" ref="DD68:DD102" si="126">S68-CH68</f>
        <v>0</v>
      </c>
      <c r="DE68" s="75">
        <f t="shared" ref="DE68:DE102" si="127">T68-CI68</f>
        <v>0</v>
      </c>
      <c r="DF68" s="75"/>
      <c r="DG68" s="75">
        <f t="shared" ref="DG68:DG102" si="128">+V68-CK68</f>
        <v>0</v>
      </c>
      <c r="DH68" s="75">
        <f t="shared" ref="DH68:DH102" si="129">+W68-CL68</f>
        <v>0</v>
      </c>
      <c r="DI68" s="75"/>
      <c r="DJ68" s="75">
        <f t="shared" ref="DJ68:DJ102" si="130">Y68-CN68</f>
        <v>0</v>
      </c>
      <c r="DK68" s="75">
        <f t="shared" ref="DK68:DK102" si="131">Z68-CO68</f>
        <v>0</v>
      </c>
      <c r="DL68" s="75">
        <f t="shared" ref="DL68:DL102" si="132">AA68-CP68</f>
        <v>0</v>
      </c>
      <c r="DM68" s="75">
        <f t="shared" ref="DM68:DM102" si="133">+AB68-CQ68</f>
        <v>0</v>
      </c>
      <c r="DN68" s="75">
        <f t="shared" ref="DN68:DN102" si="134">+AC68-CR68</f>
        <v>0</v>
      </c>
      <c r="DO68" s="75">
        <f t="shared" ref="DO68:DO102" si="135">+AD68-CS68</f>
        <v>0</v>
      </c>
      <c r="DP68" s="75">
        <f t="shared" ref="DP68:DP102" si="136">+AE68-CT68</f>
        <v>0</v>
      </c>
      <c r="DQ68" s="75"/>
      <c r="DR68" s="75">
        <f t="shared" ref="DR68:DR102" si="137">+AG68-CV68</f>
        <v>2163000</v>
      </c>
    </row>
    <row r="69" spans="1:122" ht="30.75" hidden="1" customHeight="1" x14ac:dyDescent="0.3">
      <c r="A69" s="242"/>
      <c r="B69" s="271"/>
      <c r="C69" s="272" t="s">
        <v>296</v>
      </c>
      <c r="D69" s="272" t="s">
        <v>295</v>
      </c>
      <c r="E69" s="273">
        <v>520</v>
      </c>
      <c r="F69" s="181" t="s">
        <v>214</v>
      </c>
      <c r="G69" s="228"/>
      <c r="H69" s="79">
        <f t="shared" si="108"/>
        <v>14888393</v>
      </c>
      <c r="I69" s="79">
        <f t="shared" si="109"/>
        <v>15111607</v>
      </c>
      <c r="J69" s="78"/>
      <c r="K69" s="78"/>
      <c r="L69" s="78"/>
      <c r="M69" s="75">
        <f t="shared" si="110"/>
        <v>30000000</v>
      </c>
      <c r="N69" s="75"/>
      <c r="O69" s="75"/>
      <c r="P69" s="75"/>
      <c r="Q69" s="75"/>
      <c r="R69" s="75"/>
      <c r="S69" s="75">
        <f>50000000-20000000</f>
        <v>30000000</v>
      </c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I69" s="25">
        <f t="shared" si="111"/>
        <v>1</v>
      </c>
      <c r="AJ69" s="75">
        <f t="shared" si="112"/>
        <v>30000000</v>
      </c>
      <c r="AK69" s="75"/>
      <c r="AL69" s="75"/>
      <c r="AM69" s="75"/>
      <c r="AN69" s="75"/>
      <c r="AO69" s="75"/>
      <c r="AP69" s="75">
        <f>+'[8]FEBRERO 2015'!$N$1017-20000000</f>
        <v>30000000</v>
      </c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25">
        <f t="shared" si="91"/>
        <v>0</v>
      </c>
      <c r="BF69" s="75">
        <f t="shared" si="113"/>
        <v>0</v>
      </c>
      <c r="BG69" s="75">
        <f t="shared" si="114"/>
        <v>0</v>
      </c>
      <c r="BH69" s="75">
        <f t="shared" si="115"/>
        <v>0</v>
      </c>
      <c r="BI69" s="75"/>
      <c r="BJ69" s="75">
        <f t="shared" si="116"/>
        <v>0</v>
      </c>
      <c r="BK69" s="75"/>
      <c r="BL69" s="75">
        <f t="shared" si="117"/>
        <v>0</v>
      </c>
      <c r="BM69" s="75">
        <f t="shared" si="118"/>
        <v>0</v>
      </c>
      <c r="BN69" s="75"/>
      <c r="BO69" s="75"/>
      <c r="BP69" s="75">
        <f t="shared" ref="BP69:BP102" si="138">+W69-AT69</f>
        <v>0</v>
      </c>
      <c r="BQ69" s="75"/>
      <c r="BR69" s="75">
        <f t="shared" ref="BR69:BW75" si="139">+Y69-AV69</f>
        <v>0</v>
      </c>
      <c r="BS69" s="75">
        <f t="shared" si="139"/>
        <v>0</v>
      </c>
      <c r="BT69" s="75">
        <f t="shared" si="139"/>
        <v>0</v>
      </c>
      <c r="BU69" s="75">
        <f t="shared" si="139"/>
        <v>0</v>
      </c>
      <c r="BV69" s="75">
        <f t="shared" si="139"/>
        <v>0</v>
      </c>
      <c r="BW69" s="75">
        <f t="shared" si="139"/>
        <v>0</v>
      </c>
      <c r="BX69" s="75"/>
      <c r="BY69" s="75"/>
      <c r="BZ69" s="75">
        <f t="shared" si="120"/>
        <v>0</v>
      </c>
      <c r="CA69" s="25">
        <f t="shared" si="121"/>
        <v>0.49627976666666668</v>
      </c>
      <c r="CB69" s="75">
        <f t="shared" si="122"/>
        <v>14888393</v>
      </c>
      <c r="CC69" s="75"/>
      <c r="CD69" s="75"/>
      <c r="CE69" s="75"/>
      <c r="CF69" s="75"/>
      <c r="CG69" s="75"/>
      <c r="CH69" s="75">
        <f>+'[1]AGOSTO 2015'!$H$2410</f>
        <v>14888393</v>
      </c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25">
        <f t="shared" si="123"/>
        <v>0.50372023333333327</v>
      </c>
      <c r="CX69" s="75">
        <f t="shared" si="124"/>
        <v>15111607</v>
      </c>
      <c r="CY69" s="75"/>
      <c r="CZ69" s="75"/>
      <c r="DA69" s="75"/>
      <c r="DB69" s="75">
        <f t="shared" si="125"/>
        <v>0</v>
      </c>
      <c r="DC69" s="75"/>
      <c r="DD69" s="75">
        <f t="shared" si="126"/>
        <v>15111607</v>
      </c>
      <c r="DE69" s="75">
        <f t="shared" si="127"/>
        <v>0</v>
      </c>
      <c r="DF69" s="75"/>
      <c r="DG69" s="75">
        <f t="shared" si="128"/>
        <v>0</v>
      </c>
      <c r="DH69" s="75">
        <f t="shared" si="129"/>
        <v>0</v>
      </c>
      <c r="DI69" s="75"/>
      <c r="DJ69" s="75">
        <f t="shared" si="130"/>
        <v>0</v>
      </c>
      <c r="DK69" s="75">
        <f t="shared" si="131"/>
        <v>0</v>
      </c>
      <c r="DL69" s="75">
        <f t="shared" si="132"/>
        <v>0</v>
      </c>
      <c r="DM69" s="75">
        <f t="shared" si="133"/>
        <v>0</v>
      </c>
      <c r="DN69" s="75">
        <f t="shared" si="134"/>
        <v>0</v>
      </c>
      <c r="DO69" s="75">
        <f t="shared" si="135"/>
        <v>0</v>
      </c>
      <c r="DP69" s="75">
        <f t="shared" si="136"/>
        <v>0</v>
      </c>
      <c r="DQ69" s="75"/>
      <c r="DR69" s="75">
        <f t="shared" si="137"/>
        <v>0</v>
      </c>
    </row>
    <row r="70" spans="1:122" ht="27" hidden="1" customHeight="1" x14ac:dyDescent="0.3">
      <c r="A70" s="242"/>
      <c r="B70" s="271"/>
      <c r="C70" s="272" t="s">
        <v>294</v>
      </c>
      <c r="D70" s="272" t="s">
        <v>293</v>
      </c>
      <c r="E70" s="273">
        <v>520</v>
      </c>
      <c r="F70" s="181" t="s">
        <v>214</v>
      </c>
      <c r="G70" s="228"/>
      <c r="H70" s="79">
        <f t="shared" si="108"/>
        <v>2198900</v>
      </c>
      <c r="I70" s="79">
        <f t="shared" si="109"/>
        <v>17801100</v>
      </c>
      <c r="J70" s="78"/>
      <c r="K70" s="78"/>
      <c r="L70" s="78"/>
      <c r="M70" s="75">
        <f t="shared" si="110"/>
        <v>20000000</v>
      </c>
      <c r="N70" s="75"/>
      <c r="O70" s="75"/>
      <c r="P70" s="75"/>
      <c r="Q70" s="75"/>
      <c r="R70" s="75"/>
      <c r="S70" s="75">
        <f>50000000-20000000-20000000</f>
        <v>10000000</v>
      </c>
      <c r="T70" s="75"/>
      <c r="U70" s="75"/>
      <c r="V70" s="75"/>
      <c r="W70" s="75"/>
      <c r="X70" s="75"/>
      <c r="Y70" s="75"/>
      <c r="Z70" s="75"/>
      <c r="AA70" s="75"/>
      <c r="AB70" s="75">
        <v>10000000</v>
      </c>
      <c r="AC70" s="75"/>
      <c r="AD70" s="75"/>
      <c r="AE70" s="75"/>
      <c r="AF70" s="75"/>
      <c r="AG70" s="75"/>
      <c r="AI70" s="25">
        <f t="shared" si="111"/>
        <v>1</v>
      </c>
      <c r="AJ70" s="75">
        <f t="shared" si="112"/>
        <v>20000000</v>
      </c>
      <c r="AK70" s="75"/>
      <c r="AL70" s="75"/>
      <c r="AM70" s="75"/>
      <c r="AN70" s="75"/>
      <c r="AO70" s="75"/>
      <c r="AP70" s="75">
        <f>+'[8]FEBRERO 2015'!$N$1024-40000000</f>
        <v>10000000</v>
      </c>
      <c r="AQ70" s="75"/>
      <c r="AR70" s="75"/>
      <c r="AS70" s="75"/>
      <c r="AT70" s="75"/>
      <c r="AU70" s="75"/>
      <c r="AV70" s="75"/>
      <c r="AW70" s="75"/>
      <c r="AX70" s="75"/>
      <c r="AY70" s="75">
        <f>+'[5]FEBRERO 2015'!$W$1086</f>
        <v>10000000</v>
      </c>
      <c r="AZ70" s="75"/>
      <c r="BA70" s="75"/>
      <c r="BB70" s="75"/>
      <c r="BC70" s="75"/>
      <c r="BD70" s="75"/>
      <c r="BE70" s="25">
        <f t="shared" si="91"/>
        <v>0</v>
      </c>
      <c r="BF70" s="75">
        <f t="shared" si="113"/>
        <v>0</v>
      </c>
      <c r="BG70" s="75">
        <f t="shared" si="114"/>
        <v>0</v>
      </c>
      <c r="BH70" s="75">
        <f t="shared" si="115"/>
        <v>0</v>
      </c>
      <c r="BI70" s="75"/>
      <c r="BJ70" s="75">
        <f t="shared" si="116"/>
        <v>0</v>
      </c>
      <c r="BK70" s="75"/>
      <c r="BL70" s="75">
        <f t="shared" si="117"/>
        <v>0</v>
      </c>
      <c r="BM70" s="75">
        <f t="shared" si="118"/>
        <v>0</v>
      </c>
      <c r="BN70" s="75"/>
      <c r="BO70" s="75"/>
      <c r="BP70" s="75">
        <f t="shared" si="138"/>
        <v>0</v>
      </c>
      <c r="BQ70" s="75"/>
      <c r="BR70" s="75">
        <f t="shared" si="139"/>
        <v>0</v>
      </c>
      <c r="BS70" s="75">
        <f t="shared" si="139"/>
        <v>0</v>
      </c>
      <c r="BT70" s="75">
        <f t="shared" si="139"/>
        <v>0</v>
      </c>
      <c r="BU70" s="75">
        <f t="shared" si="139"/>
        <v>0</v>
      </c>
      <c r="BV70" s="75">
        <f t="shared" si="139"/>
        <v>0</v>
      </c>
      <c r="BW70" s="75">
        <f t="shared" si="139"/>
        <v>0</v>
      </c>
      <c r="BX70" s="75"/>
      <c r="BY70" s="75"/>
      <c r="BZ70" s="75">
        <f t="shared" si="120"/>
        <v>0</v>
      </c>
      <c r="CA70" s="25">
        <f t="shared" si="121"/>
        <v>0.109945</v>
      </c>
      <c r="CB70" s="75">
        <f t="shared" si="122"/>
        <v>2198900</v>
      </c>
      <c r="CC70" s="75"/>
      <c r="CD70" s="75"/>
      <c r="CE70" s="75"/>
      <c r="CF70" s="75"/>
      <c r="CG70" s="75"/>
      <c r="CH70" s="75">
        <f>+'[2]JULIO 2015'!$H$2162</f>
        <v>2198900</v>
      </c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25">
        <f t="shared" si="123"/>
        <v>0.89005500000000004</v>
      </c>
      <c r="CX70" s="75">
        <f t="shared" si="124"/>
        <v>17801100</v>
      </c>
      <c r="CY70" s="75"/>
      <c r="CZ70" s="75"/>
      <c r="DA70" s="75"/>
      <c r="DB70" s="75">
        <f t="shared" si="125"/>
        <v>0</v>
      </c>
      <c r="DC70" s="75"/>
      <c r="DD70" s="75">
        <f t="shared" si="126"/>
        <v>7801100</v>
      </c>
      <c r="DE70" s="75">
        <f t="shared" si="127"/>
        <v>0</v>
      </c>
      <c r="DF70" s="75"/>
      <c r="DG70" s="75">
        <f t="shared" si="128"/>
        <v>0</v>
      </c>
      <c r="DH70" s="75">
        <f t="shared" si="129"/>
        <v>0</v>
      </c>
      <c r="DI70" s="75"/>
      <c r="DJ70" s="75">
        <f t="shared" si="130"/>
        <v>0</v>
      </c>
      <c r="DK70" s="75">
        <f t="shared" si="131"/>
        <v>0</v>
      </c>
      <c r="DL70" s="75">
        <f t="shared" si="132"/>
        <v>0</v>
      </c>
      <c r="DM70" s="75">
        <f t="shared" si="133"/>
        <v>10000000</v>
      </c>
      <c r="DN70" s="75">
        <f t="shared" si="134"/>
        <v>0</v>
      </c>
      <c r="DO70" s="75">
        <f t="shared" si="135"/>
        <v>0</v>
      </c>
      <c r="DP70" s="75">
        <f t="shared" si="136"/>
        <v>0</v>
      </c>
      <c r="DQ70" s="75"/>
      <c r="DR70" s="75">
        <f t="shared" si="137"/>
        <v>0</v>
      </c>
    </row>
    <row r="71" spans="1:122" ht="51" hidden="1" customHeight="1" x14ac:dyDescent="0.3">
      <c r="A71" s="242"/>
      <c r="B71" s="271"/>
      <c r="C71" s="272" t="s">
        <v>292</v>
      </c>
      <c r="D71" s="272" t="s">
        <v>291</v>
      </c>
      <c r="E71" s="273">
        <v>520</v>
      </c>
      <c r="F71" s="181" t="s">
        <v>290</v>
      </c>
      <c r="G71" s="228"/>
      <c r="H71" s="79">
        <f t="shared" si="108"/>
        <v>193792448</v>
      </c>
      <c r="I71" s="79">
        <f t="shared" si="109"/>
        <v>10707552</v>
      </c>
      <c r="J71" s="78"/>
      <c r="K71" s="78"/>
      <c r="L71" s="78"/>
      <c r="M71" s="75">
        <f t="shared" si="110"/>
        <v>204500000</v>
      </c>
      <c r="N71" s="45"/>
      <c r="O71" s="75"/>
      <c r="P71" s="75"/>
      <c r="Q71" s="75"/>
      <c r="R71" s="75"/>
      <c r="S71" s="75">
        <v>200000000</v>
      </c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>
        <f>2000000+2500000</f>
        <v>4500000</v>
      </c>
      <c r="AI71" s="25">
        <f t="shared" si="111"/>
        <v>1</v>
      </c>
      <c r="AJ71" s="75">
        <f t="shared" si="112"/>
        <v>204500000</v>
      </c>
      <c r="AK71" s="75"/>
      <c r="AL71" s="75"/>
      <c r="AM71" s="75"/>
      <c r="AN71" s="75"/>
      <c r="AO71" s="75"/>
      <c r="AP71" s="75">
        <f>+'[8]FEBRERO 2015'!$N$1029</f>
        <v>200000000</v>
      </c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>
        <f>+'[2]JULIO 2015'!$AD$2168</f>
        <v>4500000</v>
      </c>
      <c r="BE71" s="25">
        <f t="shared" si="91"/>
        <v>0</v>
      </c>
      <c r="BF71" s="75">
        <f t="shared" si="113"/>
        <v>0</v>
      </c>
      <c r="BG71" s="75">
        <f t="shared" si="114"/>
        <v>0</v>
      </c>
      <c r="BH71" s="75">
        <f t="shared" si="115"/>
        <v>0</v>
      </c>
      <c r="BI71" s="75"/>
      <c r="BJ71" s="75">
        <f t="shared" si="116"/>
        <v>0</v>
      </c>
      <c r="BK71" s="75"/>
      <c r="BL71" s="75">
        <f t="shared" si="117"/>
        <v>0</v>
      </c>
      <c r="BM71" s="75">
        <f t="shared" si="118"/>
        <v>0</v>
      </c>
      <c r="BN71" s="75"/>
      <c r="BO71" s="75">
        <f>+V71-AS71</f>
        <v>0</v>
      </c>
      <c r="BP71" s="75">
        <f t="shared" si="138"/>
        <v>0</v>
      </c>
      <c r="BQ71" s="75">
        <f t="shared" ref="BQ71:BQ79" si="140">+X71-AU71</f>
        <v>0</v>
      </c>
      <c r="BR71" s="75">
        <f t="shared" si="139"/>
        <v>0</v>
      </c>
      <c r="BS71" s="75">
        <f t="shared" si="139"/>
        <v>0</v>
      </c>
      <c r="BT71" s="75">
        <f t="shared" si="139"/>
        <v>0</v>
      </c>
      <c r="BU71" s="75">
        <f t="shared" si="139"/>
        <v>0</v>
      </c>
      <c r="BV71" s="75">
        <f t="shared" si="139"/>
        <v>0</v>
      </c>
      <c r="BW71" s="75">
        <f t="shared" si="139"/>
        <v>0</v>
      </c>
      <c r="BX71" s="75"/>
      <c r="BY71" s="75"/>
      <c r="BZ71" s="75">
        <f t="shared" si="120"/>
        <v>0</v>
      </c>
      <c r="CA71" s="25">
        <f t="shared" si="121"/>
        <v>0.94764033251833746</v>
      </c>
      <c r="CB71" s="75">
        <f t="shared" si="122"/>
        <v>193792448</v>
      </c>
      <c r="CC71" s="75"/>
      <c r="CD71" s="75"/>
      <c r="CE71" s="75"/>
      <c r="CF71" s="75"/>
      <c r="CG71" s="75"/>
      <c r="CH71" s="75">
        <f>+'[1]AGOSTO 2015'!$H$2444</f>
        <v>193494448</v>
      </c>
      <c r="CI71" s="75"/>
      <c r="CJ71" s="75"/>
      <c r="CK71" s="75"/>
      <c r="CL71" s="75"/>
      <c r="CM71" s="75"/>
      <c r="CN71" s="75"/>
      <c r="CO71" s="75"/>
      <c r="CP71" s="75"/>
      <c r="CQ71" s="75"/>
      <c r="CR71" s="75"/>
      <c r="CS71" s="75"/>
      <c r="CT71" s="75"/>
      <c r="CU71" s="75"/>
      <c r="CV71" s="75">
        <f>+'[6]JUNIO 2015'!$H$1861</f>
        <v>298000</v>
      </c>
      <c r="CW71" s="25">
        <f t="shared" si="123"/>
        <v>5.2359667481662542E-2</v>
      </c>
      <c r="CX71" s="75">
        <f t="shared" si="124"/>
        <v>10707552</v>
      </c>
      <c r="CY71" s="75"/>
      <c r="CZ71" s="75"/>
      <c r="DA71" s="75"/>
      <c r="DB71" s="75">
        <f t="shared" si="125"/>
        <v>0</v>
      </c>
      <c r="DC71" s="75"/>
      <c r="DD71" s="75">
        <f t="shared" si="126"/>
        <v>6505552</v>
      </c>
      <c r="DE71" s="75">
        <f t="shared" si="127"/>
        <v>0</v>
      </c>
      <c r="DF71" s="75"/>
      <c r="DG71" s="75">
        <f t="shared" si="128"/>
        <v>0</v>
      </c>
      <c r="DH71" s="75">
        <f t="shared" si="129"/>
        <v>0</v>
      </c>
      <c r="DI71" s="75"/>
      <c r="DJ71" s="75">
        <f t="shared" si="130"/>
        <v>0</v>
      </c>
      <c r="DK71" s="75">
        <f t="shared" si="131"/>
        <v>0</v>
      </c>
      <c r="DL71" s="75">
        <f t="shared" si="132"/>
        <v>0</v>
      </c>
      <c r="DM71" s="75">
        <f t="shared" si="133"/>
        <v>0</v>
      </c>
      <c r="DN71" s="75">
        <f t="shared" si="134"/>
        <v>0</v>
      </c>
      <c r="DO71" s="75">
        <f t="shared" si="135"/>
        <v>0</v>
      </c>
      <c r="DP71" s="75">
        <f t="shared" si="136"/>
        <v>0</v>
      </c>
      <c r="DQ71" s="75"/>
      <c r="DR71" s="75">
        <f t="shared" si="137"/>
        <v>4202000</v>
      </c>
    </row>
    <row r="72" spans="1:122" ht="37.5" hidden="1" customHeight="1" x14ac:dyDescent="0.3">
      <c r="A72" s="242"/>
      <c r="B72" s="271"/>
      <c r="C72" s="272" t="s">
        <v>289</v>
      </c>
      <c r="D72" s="272" t="s">
        <v>288</v>
      </c>
      <c r="E72" s="273">
        <v>520</v>
      </c>
      <c r="F72" s="181" t="s">
        <v>287</v>
      </c>
      <c r="G72" s="228"/>
      <c r="H72" s="79">
        <f t="shared" si="108"/>
        <v>27772892</v>
      </c>
      <c r="I72" s="79">
        <f t="shared" si="109"/>
        <v>18227108</v>
      </c>
      <c r="J72" s="78"/>
      <c r="K72" s="78"/>
      <c r="L72" s="78"/>
      <c r="M72" s="75">
        <f t="shared" si="110"/>
        <v>46000000</v>
      </c>
      <c r="N72" s="4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  <c r="AC72" s="75"/>
      <c r="AD72" s="75"/>
      <c r="AE72" s="75"/>
      <c r="AF72" s="75"/>
      <c r="AG72" s="75">
        <f>25000000+17000000+4000000</f>
        <v>46000000</v>
      </c>
      <c r="AI72" s="25">
        <f t="shared" si="111"/>
        <v>0.67391304347826086</v>
      </c>
      <c r="AJ72" s="75">
        <f t="shared" si="112"/>
        <v>31000000</v>
      </c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>
        <f>+'[2]JULIO 2015'!$AD$2241</f>
        <v>31000000</v>
      </c>
      <c r="BE72" s="25">
        <f t="shared" si="91"/>
        <v>0.32608695652173914</v>
      </c>
      <c r="BF72" s="75">
        <f t="shared" si="113"/>
        <v>15000000</v>
      </c>
      <c r="BG72" s="75">
        <f t="shared" si="114"/>
        <v>0</v>
      </c>
      <c r="BH72" s="75">
        <f t="shared" si="115"/>
        <v>0</v>
      </c>
      <c r="BI72" s="75"/>
      <c r="BJ72" s="75">
        <f t="shared" si="116"/>
        <v>0</v>
      </c>
      <c r="BK72" s="75"/>
      <c r="BL72" s="75">
        <f t="shared" si="117"/>
        <v>0</v>
      </c>
      <c r="BM72" s="75">
        <f t="shared" si="118"/>
        <v>0</v>
      </c>
      <c r="BN72" s="75"/>
      <c r="BO72" s="75">
        <f>+V72-AS72</f>
        <v>0</v>
      </c>
      <c r="BP72" s="75">
        <f t="shared" si="138"/>
        <v>0</v>
      </c>
      <c r="BQ72" s="75">
        <f t="shared" si="140"/>
        <v>0</v>
      </c>
      <c r="BR72" s="75">
        <f t="shared" si="139"/>
        <v>0</v>
      </c>
      <c r="BS72" s="75">
        <f t="shared" si="139"/>
        <v>0</v>
      </c>
      <c r="BT72" s="75">
        <f t="shared" si="139"/>
        <v>0</v>
      </c>
      <c r="BU72" s="75">
        <f t="shared" si="139"/>
        <v>0</v>
      </c>
      <c r="BV72" s="75">
        <f t="shared" si="139"/>
        <v>0</v>
      </c>
      <c r="BW72" s="75">
        <f t="shared" si="139"/>
        <v>0</v>
      </c>
      <c r="BX72" s="75">
        <f>+AE72-BB72</f>
        <v>0</v>
      </c>
      <c r="BY72" s="75"/>
      <c r="BZ72" s="75">
        <f t="shared" si="120"/>
        <v>15000000</v>
      </c>
      <c r="CA72" s="25">
        <f t="shared" si="121"/>
        <v>0.60375852173913047</v>
      </c>
      <c r="CB72" s="75">
        <f t="shared" si="122"/>
        <v>27772892</v>
      </c>
      <c r="CC72" s="75"/>
      <c r="CD72" s="75"/>
      <c r="CE72" s="75"/>
      <c r="CF72" s="75"/>
      <c r="CG72" s="75"/>
      <c r="CH72" s="75"/>
      <c r="CI72" s="75"/>
      <c r="CJ72" s="75"/>
      <c r="CK72" s="75"/>
      <c r="CL72" s="75"/>
      <c r="CM72" s="75"/>
      <c r="CN72" s="75"/>
      <c r="CO72" s="75"/>
      <c r="CP72" s="75"/>
      <c r="CQ72" s="75"/>
      <c r="CR72" s="75"/>
      <c r="CS72" s="75"/>
      <c r="CT72" s="75"/>
      <c r="CU72" s="75"/>
      <c r="CV72" s="75">
        <f>+'[1]AGOSTO 2015'!$H$2511</f>
        <v>27772892</v>
      </c>
      <c r="CW72" s="25">
        <f t="shared" si="123"/>
        <v>0.39624147826086953</v>
      </c>
      <c r="CX72" s="75">
        <f t="shared" si="124"/>
        <v>18227108</v>
      </c>
      <c r="CY72" s="75"/>
      <c r="CZ72" s="75"/>
      <c r="DA72" s="75"/>
      <c r="DB72" s="75">
        <f t="shared" si="125"/>
        <v>0</v>
      </c>
      <c r="DC72" s="75"/>
      <c r="DD72" s="75">
        <f t="shared" si="126"/>
        <v>0</v>
      </c>
      <c r="DE72" s="75">
        <f t="shared" si="127"/>
        <v>0</v>
      </c>
      <c r="DF72" s="75"/>
      <c r="DG72" s="75">
        <f t="shared" si="128"/>
        <v>0</v>
      </c>
      <c r="DH72" s="75">
        <f t="shared" si="129"/>
        <v>0</v>
      </c>
      <c r="DI72" s="75"/>
      <c r="DJ72" s="75">
        <f t="shared" si="130"/>
        <v>0</v>
      </c>
      <c r="DK72" s="75">
        <f t="shared" si="131"/>
        <v>0</v>
      </c>
      <c r="DL72" s="75">
        <f t="shared" si="132"/>
        <v>0</v>
      </c>
      <c r="DM72" s="75">
        <f t="shared" si="133"/>
        <v>0</v>
      </c>
      <c r="DN72" s="75">
        <f t="shared" si="134"/>
        <v>0</v>
      </c>
      <c r="DO72" s="75">
        <f t="shared" si="135"/>
        <v>0</v>
      </c>
      <c r="DP72" s="75">
        <f t="shared" si="136"/>
        <v>0</v>
      </c>
      <c r="DQ72" s="75"/>
      <c r="DR72" s="75">
        <f t="shared" si="137"/>
        <v>18227108</v>
      </c>
    </row>
    <row r="73" spans="1:122" ht="37.5" hidden="1" customHeight="1" x14ac:dyDescent="0.3">
      <c r="A73" s="242"/>
      <c r="B73" s="271"/>
      <c r="C73" s="272" t="s">
        <v>286</v>
      </c>
      <c r="D73" s="272" t="s">
        <v>285</v>
      </c>
      <c r="E73" s="273">
        <v>520</v>
      </c>
      <c r="F73" s="181" t="s">
        <v>284</v>
      </c>
      <c r="G73" s="229"/>
      <c r="H73" s="79">
        <f t="shared" si="108"/>
        <v>1764945</v>
      </c>
      <c r="I73" s="79">
        <f t="shared" si="109"/>
        <v>1235055</v>
      </c>
      <c r="J73" s="78"/>
      <c r="K73" s="78"/>
      <c r="L73" s="78"/>
      <c r="M73" s="75">
        <f t="shared" si="110"/>
        <v>3000000</v>
      </c>
      <c r="N73" s="4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  <c r="AC73" s="75"/>
      <c r="AD73" s="75"/>
      <c r="AE73" s="75"/>
      <c r="AF73" s="75"/>
      <c r="AG73" s="75">
        <f>2000000+1000000</f>
        <v>3000000</v>
      </c>
      <c r="AI73" s="25">
        <f t="shared" si="111"/>
        <v>1</v>
      </c>
      <c r="AJ73" s="75">
        <f t="shared" si="112"/>
        <v>3000000</v>
      </c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>
        <f>+'[2]JULIO 2015'!$AD$2253</f>
        <v>3000000</v>
      </c>
      <c r="BE73" s="25">
        <f t="shared" si="91"/>
        <v>0</v>
      </c>
      <c r="BF73" s="75">
        <f t="shared" si="113"/>
        <v>0</v>
      </c>
      <c r="BG73" s="75">
        <f t="shared" si="114"/>
        <v>0</v>
      </c>
      <c r="BH73" s="75">
        <f t="shared" si="115"/>
        <v>0</v>
      </c>
      <c r="BI73" s="75"/>
      <c r="BJ73" s="75">
        <f t="shared" si="116"/>
        <v>0</v>
      </c>
      <c r="BK73" s="75"/>
      <c r="BL73" s="75">
        <f t="shared" si="117"/>
        <v>0</v>
      </c>
      <c r="BM73" s="75">
        <f t="shared" si="118"/>
        <v>0</v>
      </c>
      <c r="BN73" s="75"/>
      <c r="BO73" s="75"/>
      <c r="BP73" s="75">
        <f t="shared" si="138"/>
        <v>0</v>
      </c>
      <c r="BQ73" s="75">
        <f t="shared" si="140"/>
        <v>0</v>
      </c>
      <c r="BR73" s="75">
        <f t="shared" si="139"/>
        <v>0</v>
      </c>
      <c r="BS73" s="75">
        <f t="shared" si="139"/>
        <v>0</v>
      </c>
      <c r="BT73" s="75">
        <f t="shared" si="139"/>
        <v>0</v>
      </c>
      <c r="BU73" s="75">
        <f t="shared" si="139"/>
        <v>0</v>
      </c>
      <c r="BV73" s="75">
        <f t="shared" si="139"/>
        <v>0</v>
      </c>
      <c r="BW73" s="75">
        <f t="shared" si="139"/>
        <v>0</v>
      </c>
      <c r="BX73" s="75"/>
      <c r="BY73" s="75"/>
      <c r="BZ73" s="75">
        <f t="shared" si="120"/>
        <v>0</v>
      </c>
      <c r="CA73" s="25">
        <f t="shared" si="121"/>
        <v>0.58831500000000003</v>
      </c>
      <c r="CB73" s="75">
        <f t="shared" si="122"/>
        <v>1764945</v>
      </c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  <c r="CP73" s="75"/>
      <c r="CQ73" s="75"/>
      <c r="CR73" s="75"/>
      <c r="CS73" s="75"/>
      <c r="CT73" s="75"/>
      <c r="CU73" s="75"/>
      <c r="CV73" s="75">
        <f>+'[3]ABRIL 2015'!$H$1527</f>
        <v>1764945</v>
      </c>
      <c r="CW73" s="25">
        <f t="shared" si="123"/>
        <v>0.41168499999999997</v>
      </c>
      <c r="CX73" s="75">
        <f t="shared" si="124"/>
        <v>1235055</v>
      </c>
      <c r="CY73" s="75"/>
      <c r="CZ73" s="75"/>
      <c r="DA73" s="75"/>
      <c r="DB73" s="75">
        <f t="shared" si="125"/>
        <v>0</v>
      </c>
      <c r="DC73" s="75"/>
      <c r="DD73" s="75">
        <f t="shared" si="126"/>
        <v>0</v>
      </c>
      <c r="DE73" s="75">
        <f t="shared" si="127"/>
        <v>0</v>
      </c>
      <c r="DF73" s="75"/>
      <c r="DG73" s="75">
        <f t="shared" si="128"/>
        <v>0</v>
      </c>
      <c r="DH73" s="75">
        <f t="shared" si="129"/>
        <v>0</v>
      </c>
      <c r="DI73" s="75"/>
      <c r="DJ73" s="75">
        <f t="shared" si="130"/>
        <v>0</v>
      </c>
      <c r="DK73" s="75">
        <f t="shared" si="131"/>
        <v>0</v>
      </c>
      <c r="DL73" s="75">
        <f t="shared" si="132"/>
        <v>0</v>
      </c>
      <c r="DM73" s="75">
        <f t="shared" si="133"/>
        <v>0</v>
      </c>
      <c r="DN73" s="75">
        <f t="shared" si="134"/>
        <v>0</v>
      </c>
      <c r="DO73" s="75">
        <f t="shared" si="135"/>
        <v>0</v>
      </c>
      <c r="DP73" s="75">
        <f t="shared" si="136"/>
        <v>0</v>
      </c>
      <c r="DQ73" s="75"/>
      <c r="DR73" s="75">
        <f t="shared" si="137"/>
        <v>1235055</v>
      </c>
    </row>
    <row r="74" spans="1:122" ht="37.5" hidden="1" customHeight="1" x14ac:dyDescent="0.3">
      <c r="A74" s="242"/>
      <c r="B74" s="271" t="s">
        <v>283</v>
      </c>
      <c r="C74" s="272" t="s">
        <v>282</v>
      </c>
      <c r="D74" s="272" t="s">
        <v>281</v>
      </c>
      <c r="E74" s="273">
        <v>520</v>
      </c>
      <c r="F74" s="181" t="s">
        <v>214</v>
      </c>
      <c r="G74" s="227">
        <v>100000000</v>
      </c>
      <c r="H74" s="79">
        <f t="shared" si="108"/>
        <v>0</v>
      </c>
      <c r="I74" s="79">
        <f t="shared" si="109"/>
        <v>25000000</v>
      </c>
      <c r="J74" s="78"/>
      <c r="K74" s="78"/>
      <c r="L74" s="78"/>
      <c r="M74" s="75">
        <f t="shared" si="110"/>
        <v>25000000</v>
      </c>
      <c r="N74" s="45"/>
      <c r="O74" s="75"/>
      <c r="P74" s="75"/>
      <c r="Q74" s="75"/>
      <c r="R74" s="75"/>
      <c r="S74" s="75"/>
      <c r="T74" s="75">
        <f>50000000-25000000</f>
        <v>25000000</v>
      </c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I74" s="25">
        <f t="shared" si="111"/>
        <v>0</v>
      </c>
      <c r="AJ74" s="75">
        <f t="shared" si="112"/>
        <v>0</v>
      </c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25">
        <f t="shared" si="91"/>
        <v>1</v>
      </c>
      <c r="BF74" s="75">
        <f t="shared" si="113"/>
        <v>25000000</v>
      </c>
      <c r="BG74" s="75">
        <f t="shared" si="114"/>
        <v>0</v>
      </c>
      <c r="BH74" s="75">
        <f t="shared" si="115"/>
        <v>0</v>
      </c>
      <c r="BI74" s="75"/>
      <c r="BJ74" s="75">
        <f t="shared" si="116"/>
        <v>0</v>
      </c>
      <c r="BK74" s="75"/>
      <c r="BL74" s="75">
        <f t="shared" si="117"/>
        <v>0</v>
      </c>
      <c r="BM74" s="75">
        <f t="shared" si="118"/>
        <v>25000000</v>
      </c>
      <c r="BN74" s="75"/>
      <c r="BO74" s="75">
        <f>+V74-AS74</f>
        <v>0</v>
      </c>
      <c r="BP74" s="75">
        <f t="shared" si="138"/>
        <v>0</v>
      </c>
      <c r="BQ74" s="75">
        <f t="shared" si="140"/>
        <v>0</v>
      </c>
      <c r="BR74" s="75">
        <f t="shared" si="139"/>
        <v>0</v>
      </c>
      <c r="BS74" s="75">
        <f t="shared" si="139"/>
        <v>0</v>
      </c>
      <c r="BT74" s="75">
        <f t="shared" si="139"/>
        <v>0</v>
      </c>
      <c r="BU74" s="75">
        <f t="shared" si="139"/>
        <v>0</v>
      </c>
      <c r="BV74" s="75">
        <f t="shared" si="139"/>
        <v>0</v>
      </c>
      <c r="BW74" s="75">
        <f t="shared" si="139"/>
        <v>0</v>
      </c>
      <c r="BX74" s="75">
        <f>+AE74-BB74</f>
        <v>0</v>
      </c>
      <c r="BY74" s="75"/>
      <c r="BZ74" s="75">
        <f t="shared" si="120"/>
        <v>0</v>
      </c>
      <c r="CA74" s="25">
        <f t="shared" si="121"/>
        <v>0</v>
      </c>
      <c r="CB74" s="75">
        <f t="shared" si="122"/>
        <v>0</v>
      </c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25">
        <f t="shared" si="123"/>
        <v>1</v>
      </c>
      <c r="CX74" s="75">
        <f t="shared" si="124"/>
        <v>25000000</v>
      </c>
      <c r="CY74" s="75"/>
      <c r="CZ74" s="75"/>
      <c r="DA74" s="75"/>
      <c r="DB74" s="75">
        <f t="shared" si="125"/>
        <v>0</v>
      </c>
      <c r="DC74" s="75"/>
      <c r="DD74" s="75">
        <f t="shared" si="126"/>
        <v>0</v>
      </c>
      <c r="DE74" s="75">
        <f t="shared" si="127"/>
        <v>25000000</v>
      </c>
      <c r="DF74" s="75"/>
      <c r="DG74" s="75">
        <f t="shared" si="128"/>
        <v>0</v>
      </c>
      <c r="DH74" s="75">
        <f t="shared" si="129"/>
        <v>0</v>
      </c>
      <c r="DI74" s="75"/>
      <c r="DJ74" s="75">
        <f t="shared" si="130"/>
        <v>0</v>
      </c>
      <c r="DK74" s="75">
        <f t="shared" si="131"/>
        <v>0</v>
      </c>
      <c r="DL74" s="75">
        <f t="shared" si="132"/>
        <v>0</v>
      </c>
      <c r="DM74" s="75">
        <f t="shared" si="133"/>
        <v>0</v>
      </c>
      <c r="DN74" s="75">
        <f t="shared" si="134"/>
        <v>0</v>
      </c>
      <c r="DO74" s="75">
        <f t="shared" si="135"/>
        <v>0</v>
      </c>
      <c r="DP74" s="75">
        <f t="shared" si="136"/>
        <v>0</v>
      </c>
      <c r="DQ74" s="75"/>
      <c r="DR74" s="75">
        <f t="shared" si="137"/>
        <v>0</v>
      </c>
    </row>
    <row r="75" spans="1:122" ht="34.5" hidden="1" customHeight="1" x14ac:dyDescent="0.3">
      <c r="A75" s="242"/>
      <c r="B75" s="271"/>
      <c r="C75" s="272" t="s">
        <v>280</v>
      </c>
      <c r="D75" s="272" t="s">
        <v>279</v>
      </c>
      <c r="E75" s="273">
        <v>520</v>
      </c>
      <c r="F75" s="181" t="s">
        <v>214</v>
      </c>
      <c r="G75" s="228"/>
      <c r="H75" s="79">
        <f t="shared" si="108"/>
        <v>25001010</v>
      </c>
      <c r="I75" s="79">
        <f t="shared" si="109"/>
        <v>4998990</v>
      </c>
      <c r="J75" s="78"/>
      <c r="K75" s="78"/>
      <c r="L75" s="78"/>
      <c r="M75" s="75">
        <f t="shared" si="110"/>
        <v>30000000</v>
      </c>
      <c r="N75" s="45"/>
      <c r="O75" s="75"/>
      <c r="P75" s="75"/>
      <c r="Q75" s="75"/>
      <c r="R75" s="75"/>
      <c r="S75" s="75">
        <v>20000000</v>
      </c>
      <c r="T75" s="75"/>
      <c r="U75" s="75"/>
      <c r="V75" s="75"/>
      <c r="W75" s="75"/>
      <c r="X75" s="75"/>
      <c r="Y75" s="75"/>
      <c r="Z75" s="75"/>
      <c r="AA75" s="75"/>
      <c r="AB75" s="75">
        <v>10000000</v>
      </c>
      <c r="AC75" s="75"/>
      <c r="AD75" s="75"/>
      <c r="AE75" s="75"/>
      <c r="AF75" s="75"/>
      <c r="AG75" s="75"/>
      <c r="AI75" s="25">
        <f t="shared" si="111"/>
        <v>1</v>
      </c>
      <c r="AJ75" s="75">
        <f t="shared" si="112"/>
        <v>30000000</v>
      </c>
      <c r="AK75" s="75"/>
      <c r="AL75" s="75"/>
      <c r="AM75" s="75"/>
      <c r="AN75" s="75"/>
      <c r="AO75" s="75"/>
      <c r="AP75" s="75">
        <f>+'[9]ENERO 2015'!$L$922</f>
        <v>20000000</v>
      </c>
      <c r="AQ75" s="75"/>
      <c r="AR75" s="75"/>
      <c r="AS75" s="75"/>
      <c r="AT75" s="75"/>
      <c r="AU75" s="75"/>
      <c r="AV75" s="75"/>
      <c r="AW75" s="75"/>
      <c r="AX75" s="75"/>
      <c r="AY75" s="75">
        <f>+'[5]FEBRERO 2015'!$W$1134</f>
        <v>10000000</v>
      </c>
      <c r="AZ75" s="75"/>
      <c r="BA75" s="75"/>
      <c r="BB75" s="75"/>
      <c r="BC75" s="75"/>
      <c r="BD75" s="75"/>
      <c r="BE75" s="25">
        <f t="shared" si="91"/>
        <v>0</v>
      </c>
      <c r="BF75" s="75">
        <f t="shared" si="113"/>
        <v>0</v>
      </c>
      <c r="BG75" s="75">
        <f t="shared" si="114"/>
        <v>0</v>
      </c>
      <c r="BH75" s="75">
        <f t="shared" si="115"/>
        <v>0</v>
      </c>
      <c r="BI75" s="75"/>
      <c r="BJ75" s="75">
        <f t="shared" si="116"/>
        <v>0</v>
      </c>
      <c r="BK75" s="75"/>
      <c r="BL75" s="75">
        <f t="shared" si="117"/>
        <v>0</v>
      </c>
      <c r="BM75" s="75">
        <f t="shared" si="118"/>
        <v>0</v>
      </c>
      <c r="BN75" s="75"/>
      <c r="BO75" s="75">
        <f>+V75-AS75</f>
        <v>0</v>
      </c>
      <c r="BP75" s="75">
        <f t="shared" si="138"/>
        <v>0</v>
      </c>
      <c r="BQ75" s="75">
        <f t="shared" si="140"/>
        <v>0</v>
      </c>
      <c r="BR75" s="75">
        <f t="shared" si="139"/>
        <v>0</v>
      </c>
      <c r="BS75" s="75">
        <f t="shared" si="139"/>
        <v>0</v>
      </c>
      <c r="BT75" s="75">
        <f t="shared" si="139"/>
        <v>0</v>
      </c>
      <c r="BU75" s="75">
        <f t="shared" si="139"/>
        <v>0</v>
      </c>
      <c r="BV75" s="75">
        <f t="shared" si="139"/>
        <v>0</v>
      </c>
      <c r="BW75" s="75">
        <f t="shared" si="139"/>
        <v>0</v>
      </c>
      <c r="BX75" s="75">
        <f>+AE75-BB75</f>
        <v>0</v>
      </c>
      <c r="BY75" s="75"/>
      <c r="BZ75" s="75">
        <f t="shared" si="120"/>
        <v>0</v>
      </c>
      <c r="CA75" s="25">
        <f t="shared" si="121"/>
        <v>0.83336699999999997</v>
      </c>
      <c r="CB75" s="75">
        <f t="shared" si="122"/>
        <v>25001010</v>
      </c>
      <c r="CC75" s="75"/>
      <c r="CD75" s="75"/>
      <c r="CE75" s="75"/>
      <c r="CF75" s="75"/>
      <c r="CG75" s="75"/>
      <c r="CH75" s="75">
        <f>+'[3]ABRIL 2015'!$H$1544</f>
        <v>19926000</v>
      </c>
      <c r="CI75" s="75"/>
      <c r="CJ75" s="75"/>
      <c r="CK75" s="75"/>
      <c r="CL75" s="75"/>
      <c r="CM75" s="75"/>
      <c r="CN75" s="75"/>
      <c r="CO75" s="75"/>
      <c r="CP75" s="75"/>
      <c r="CQ75" s="75">
        <f>+'[1]AGOSTO 2015'!$H$2545</f>
        <v>5075010</v>
      </c>
      <c r="CR75" s="75"/>
      <c r="CS75" s="75"/>
      <c r="CT75" s="75"/>
      <c r="CU75" s="75"/>
      <c r="CV75" s="75"/>
      <c r="CW75" s="25">
        <f t="shared" si="123"/>
        <v>0.16663300000000003</v>
      </c>
      <c r="CX75" s="75">
        <f t="shared" si="124"/>
        <v>4998990</v>
      </c>
      <c r="CY75" s="75"/>
      <c r="CZ75" s="75"/>
      <c r="DA75" s="75"/>
      <c r="DB75" s="75">
        <f t="shared" si="125"/>
        <v>0</v>
      </c>
      <c r="DC75" s="75"/>
      <c r="DD75" s="75">
        <f t="shared" si="126"/>
        <v>74000</v>
      </c>
      <c r="DE75" s="75">
        <f t="shared" si="127"/>
        <v>0</v>
      </c>
      <c r="DF75" s="75"/>
      <c r="DG75" s="75">
        <f t="shared" si="128"/>
        <v>0</v>
      </c>
      <c r="DH75" s="75">
        <f t="shared" si="129"/>
        <v>0</v>
      </c>
      <c r="DI75" s="75"/>
      <c r="DJ75" s="75">
        <f t="shared" si="130"/>
        <v>0</v>
      </c>
      <c r="DK75" s="75">
        <f t="shared" si="131"/>
        <v>0</v>
      </c>
      <c r="DL75" s="75">
        <f t="shared" si="132"/>
        <v>0</v>
      </c>
      <c r="DM75" s="75">
        <f t="shared" si="133"/>
        <v>4924990</v>
      </c>
      <c r="DN75" s="75">
        <f t="shared" si="134"/>
        <v>0</v>
      </c>
      <c r="DO75" s="75">
        <f t="shared" si="135"/>
        <v>0</v>
      </c>
      <c r="DP75" s="75">
        <f t="shared" si="136"/>
        <v>0</v>
      </c>
      <c r="DQ75" s="75"/>
      <c r="DR75" s="75">
        <f t="shared" si="137"/>
        <v>0</v>
      </c>
    </row>
    <row r="76" spans="1:122" ht="47.25" hidden="1" customHeight="1" x14ac:dyDescent="0.3">
      <c r="A76" s="242"/>
      <c r="B76" s="271"/>
      <c r="C76" s="272" t="s">
        <v>278</v>
      </c>
      <c r="D76" s="272" t="s">
        <v>277</v>
      </c>
      <c r="E76" s="273">
        <v>520</v>
      </c>
      <c r="F76" s="181" t="s">
        <v>214</v>
      </c>
      <c r="G76" s="229"/>
      <c r="H76" s="79">
        <f t="shared" si="108"/>
        <v>12228000</v>
      </c>
      <c r="I76" s="79">
        <f t="shared" si="109"/>
        <v>17772000</v>
      </c>
      <c r="J76" s="78"/>
      <c r="K76" s="78"/>
      <c r="L76" s="78"/>
      <c r="M76" s="75">
        <f t="shared" si="110"/>
        <v>30000000</v>
      </c>
      <c r="N76" s="45"/>
      <c r="O76" s="75"/>
      <c r="P76" s="75"/>
      <c r="Q76" s="75"/>
      <c r="R76" s="75"/>
      <c r="S76" s="75">
        <v>30000000</v>
      </c>
      <c r="T76" s="75"/>
      <c r="U76" s="75"/>
      <c r="V76" s="75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I76" s="25">
        <f t="shared" si="111"/>
        <v>1</v>
      </c>
      <c r="AJ76" s="75">
        <f t="shared" si="112"/>
        <v>30000000</v>
      </c>
      <c r="AK76" s="75"/>
      <c r="AL76" s="75"/>
      <c r="AM76" s="75"/>
      <c r="AN76" s="75"/>
      <c r="AO76" s="75"/>
      <c r="AP76" s="75">
        <f>+'[8]FEBRERO 2015'!$N$1070</f>
        <v>30000000</v>
      </c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25">
        <f t="shared" si="91"/>
        <v>0</v>
      </c>
      <c r="BF76" s="75">
        <f t="shared" si="113"/>
        <v>0</v>
      </c>
      <c r="BG76" s="75">
        <f t="shared" si="114"/>
        <v>0</v>
      </c>
      <c r="BH76" s="75">
        <f t="shared" si="115"/>
        <v>0</v>
      </c>
      <c r="BI76" s="75"/>
      <c r="BJ76" s="75">
        <f t="shared" si="116"/>
        <v>0</v>
      </c>
      <c r="BK76" s="75"/>
      <c r="BL76" s="75">
        <f t="shared" si="117"/>
        <v>0</v>
      </c>
      <c r="BM76" s="75">
        <f t="shared" si="118"/>
        <v>0</v>
      </c>
      <c r="BN76" s="75"/>
      <c r="BO76" s="75">
        <f>V76-AS76</f>
        <v>0</v>
      </c>
      <c r="BP76" s="75">
        <f t="shared" si="138"/>
        <v>0</v>
      </c>
      <c r="BQ76" s="75">
        <f t="shared" si="140"/>
        <v>0</v>
      </c>
      <c r="BR76" s="75">
        <f t="shared" ref="BR76:BR102" si="141">+Y76-AV76</f>
        <v>0</v>
      </c>
      <c r="BS76" s="75">
        <f t="shared" ref="BS76:BS102" si="142">+Z76-AW76</f>
        <v>0</v>
      </c>
      <c r="BT76" s="75">
        <f t="shared" ref="BT76:BT102" si="143">+AA76-AX76</f>
        <v>0</v>
      </c>
      <c r="BU76" s="75">
        <f>AB76-AY76</f>
        <v>0</v>
      </c>
      <c r="BV76" s="75">
        <f t="shared" ref="BV76:BV102" si="144">+AC76-AZ76</f>
        <v>0</v>
      </c>
      <c r="BW76" s="75">
        <f t="shared" ref="BW76:BW102" si="145">+AD76-BA76</f>
        <v>0</v>
      </c>
      <c r="BX76" s="75">
        <f>+AE76-BB76</f>
        <v>0</v>
      </c>
      <c r="BY76" s="75"/>
      <c r="BZ76" s="75">
        <f t="shared" si="120"/>
        <v>0</v>
      </c>
      <c r="CA76" s="25">
        <f t="shared" si="121"/>
        <v>0.40760000000000002</v>
      </c>
      <c r="CB76" s="75">
        <f t="shared" si="122"/>
        <v>12228000</v>
      </c>
      <c r="CC76" s="75"/>
      <c r="CD76" s="75"/>
      <c r="CE76" s="75"/>
      <c r="CF76" s="75"/>
      <c r="CG76" s="75"/>
      <c r="CH76" s="75">
        <f>+'[6]JUNIO 2015'!$H$1939</f>
        <v>12228000</v>
      </c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25">
        <f t="shared" si="123"/>
        <v>0.59240000000000004</v>
      </c>
      <c r="CX76" s="75">
        <f t="shared" si="124"/>
        <v>17772000</v>
      </c>
      <c r="CY76" s="75"/>
      <c r="CZ76" s="75"/>
      <c r="DA76" s="75"/>
      <c r="DB76" s="75">
        <f t="shared" si="125"/>
        <v>0</v>
      </c>
      <c r="DC76" s="75"/>
      <c r="DD76" s="75">
        <f t="shared" si="126"/>
        <v>17772000</v>
      </c>
      <c r="DE76" s="75">
        <f t="shared" si="127"/>
        <v>0</v>
      </c>
      <c r="DF76" s="75"/>
      <c r="DG76" s="75">
        <f t="shared" si="128"/>
        <v>0</v>
      </c>
      <c r="DH76" s="75">
        <f t="shared" si="129"/>
        <v>0</v>
      </c>
      <c r="DI76" s="75"/>
      <c r="DJ76" s="75">
        <f t="shared" si="130"/>
        <v>0</v>
      </c>
      <c r="DK76" s="75">
        <f t="shared" si="131"/>
        <v>0</v>
      </c>
      <c r="DL76" s="75">
        <f t="shared" si="132"/>
        <v>0</v>
      </c>
      <c r="DM76" s="75">
        <f t="shared" si="133"/>
        <v>0</v>
      </c>
      <c r="DN76" s="75">
        <f t="shared" si="134"/>
        <v>0</v>
      </c>
      <c r="DO76" s="75">
        <f t="shared" si="135"/>
        <v>0</v>
      </c>
      <c r="DP76" s="75">
        <f t="shared" si="136"/>
        <v>0</v>
      </c>
      <c r="DQ76" s="75"/>
      <c r="DR76" s="75">
        <f t="shared" si="137"/>
        <v>0</v>
      </c>
    </row>
    <row r="77" spans="1:122" ht="30" hidden="1" customHeight="1" x14ac:dyDescent="0.3">
      <c r="A77" s="242"/>
      <c r="B77" s="271" t="s">
        <v>276</v>
      </c>
      <c r="C77" s="272" t="s">
        <v>275</v>
      </c>
      <c r="D77" s="272" t="s">
        <v>274</v>
      </c>
      <c r="E77" s="273">
        <v>520</v>
      </c>
      <c r="F77" s="181" t="s">
        <v>273</v>
      </c>
      <c r="G77" s="227">
        <v>1710000000</v>
      </c>
      <c r="H77" s="79">
        <f t="shared" si="108"/>
        <v>0</v>
      </c>
      <c r="I77" s="79">
        <f t="shared" si="109"/>
        <v>2898900</v>
      </c>
      <c r="J77" s="78"/>
      <c r="K77" s="78"/>
      <c r="L77" s="78"/>
      <c r="M77" s="75">
        <f t="shared" si="110"/>
        <v>2898900</v>
      </c>
      <c r="N77" s="45"/>
      <c r="O77" s="45"/>
      <c r="P77" s="45"/>
      <c r="Q77" s="45"/>
      <c r="R77" s="45"/>
      <c r="S77" s="45"/>
      <c r="T77" s="75"/>
      <c r="U77" s="75"/>
      <c r="V77" s="75"/>
      <c r="W77" s="75"/>
      <c r="X77" s="75"/>
      <c r="Y77" s="75"/>
      <c r="Z77" s="75"/>
      <c r="AA77" s="75"/>
      <c r="AB77" s="75"/>
      <c r="AC77" s="75"/>
      <c r="AD77" s="75"/>
      <c r="AE77" s="75"/>
      <c r="AF77" s="75"/>
      <c r="AG77" s="75">
        <f>2500000+398900</f>
        <v>2898900</v>
      </c>
      <c r="AI77" s="25">
        <f t="shared" si="111"/>
        <v>1</v>
      </c>
      <c r="AJ77" s="75">
        <f t="shared" si="112"/>
        <v>2898900</v>
      </c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>
        <f>+'[2]JULIO 2015'!$AD$2291</f>
        <v>2898900</v>
      </c>
      <c r="BE77" s="25">
        <f t="shared" si="91"/>
        <v>0</v>
      </c>
      <c r="BF77" s="75">
        <f t="shared" si="113"/>
        <v>0</v>
      </c>
      <c r="BG77" s="75">
        <f t="shared" si="114"/>
        <v>0</v>
      </c>
      <c r="BH77" s="75">
        <f t="shared" si="115"/>
        <v>0</v>
      </c>
      <c r="BI77" s="75"/>
      <c r="BJ77" s="75">
        <f t="shared" si="116"/>
        <v>0</v>
      </c>
      <c r="BK77" s="75"/>
      <c r="BL77" s="75">
        <f t="shared" si="117"/>
        <v>0</v>
      </c>
      <c r="BM77" s="75">
        <f t="shared" si="118"/>
        <v>0</v>
      </c>
      <c r="BN77" s="75"/>
      <c r="BO77" s="75">
        <f>V77-AS77</f>
        <v>0</v>
      </c>
      <c r="BP77" s="75">
        <f t="shared" si="138"/>
        <v>0</v>
      </c>
      <c r="BQ77" s="75">
        <f t="shared" si="140"/>
        <v>0</v>
      </c>
      <c r="BR77" s="75">
        <f t="shared" si="141"/>
        <v>0</v>
      </c>
      <c r="BS77" s="75">
        <f t="shared" si="142"/>
        <v>0</v>
      </c>
      <c r="BT77" s="75">
        <f t="shared" si="143"/>
        <v>0</v>
      </c>
      <c r="BU77" s="75">
        <f>AB77-AY77</f>
        <v>0</v>
      </c>
      <c r="BV77" s="75">
        <f t="shared" si="144"/>
        <v>0</v>
      </c>
      <c r="BW77" s="75">
        <f t="shared" si="145"/>
        <v>0</v>
      </c>
      <c r="BX77" s="75"/>
      <c r="BY77" s="75"/>
      <c r="BZ77" s="75">
        <f t="shared" si="120"/>
        <v>0</v>
      </c>
      <c r="CA77" s="25">
        <f t="shared" si="121"/>
        <v>0</v>
      </c>
      <c r="CB77" s="75">
        <f t="shared" si="122"/>
        <v>0</v>
      </c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25">
        <f t="shared" si="123"/>
        <v>1</v>
      </c>
      <c r="CX77" s="75">
        <f t="shared" si="124"/>
        <v>2898900</v>
      </c>
      <c r="CY77" s="75"/>
      <c r="CZ77" s="75"/>
      <c r="DA77" s="75"/>
      <c r="DB77" s="75">
        <f t="shared" si="125"/>
        <v>0</v>
      </c>
      <c r="DC77" s="75"/>
      <c r="DD77" s="75">
        <f t="shared" si="126"/>
        <v>0</v>
      </c>
      <c r="DE77" s="75">
        <f t="shared" si="127"/>
        <v>0</v>
      </c>
      <c r="DF77" s="75"/>
      <c r="DG77" s="75">
        <f t="shared" si="128"/>
        <v>0</v>
      </c>
      <c r="DH77" s="75">
        <f t="shared" si="129"/>
        <v>0</v>
      </c>
      <c r="DI77" s="75"/>
      <c r="DJ77" s="75">
        <f t="shared" si="130"/>
        <v>0</v>
      </c>
      <c r="DK77" s="75">
        <f t="shared" si="131"/>
        <v>0</v>
      </c>
      <c r="DL77" s="75">
        <f t="shared" si="132"/>
        <v>0</v>
      </c>
      <c r="DM77" s="75">
        <f t="shared" si="133"/>
        <v>0</v>
      </c>
      <c r="DN77" s="75">
        <f t="shared" si="134"/>
        <v>0</v>
      </c>
      <c r="DO77" s="75">
        <f t="shared" si="135"/>
        <v>0</v>
      </c>
      <c r="DP77" s="75">
        <f t="shared" si="136"/>
        <v>0</v>
      </c>
      <c r="DQ77" s="75"/>
      <c r="DR77" s="75">
        <f t="shared" si="137"/>
        <v>2898900</v>
      </c>
    </row>
    <row r="78" spans="1:122" ht="24.75" hidden="1" customHeight="1" x14ac:dyDescent="0.3">
      <c r="A78" s="242"/>
      <c r="B78" s="271"/>
      <c r="C78" s="272" t="s">
        <v>272</v>
      </c>
      <c r="D78" s="272" t="s">
        <v>271</v>
      </c>
      <c r="E78" s="273">
        <v>520</v>
      </c>
      <c r="F78" s="181" t="s">
        <v>270</v>
      </c>
      <c r="G78" s="228"/>
      <c r="H78" s="79">
        <f t="shared" si="108"/>
        <v>247167734</v>
      </c>
      <c r="I78" s="79">
        <f t="shared" si="109"/>
        <v>27832266</v>
      </c>
      <c r="J78" s="78"/>
      <c r="K78" s="78"/>
      <c r="L78" s="78"/>
      <c r="M78" s="75">
        <f t="shared" si="110"/>
        <v>275000000</v>
      </c>
      <c r="N78" s="45"/>
      <c r="O78" s="115">
        <f>300000000-300000000</f>
        <v>0</v>
      </c>
      <c r="P78" s="115"/>
      <c r="Q78" s="45"/>
      <c r="R78" s="45"/>
      <c r="S78" s="45"/>
      <c r="T78" s="75">
        <f>300000000-25000000</f>
        <v>275000000</v>
      </c>
      <c r="U78" s="75"/>
      <c r="V78" s="75"/>
      <c r="W78" s="75"/>
      <c r="X78" s="75"/>
      <c r="Y78" s="75"/>
      <c r="Z78" s="75"/>
      <c r="AA78" s="75"/>
      <c r="AB78" s="75"/>
      <c r="AC78" s="75"/>
      <c r="AD78" s="75"/>
      <c r="AE78" s="75"/>
      <c r="AF78" s="75"/>
      <c r="AG78" s="75"/>
      <c r="AI78" s="25">
        <f t="shared" si="111"/>
        <v>1</v>
      </c>
      <c r="AJ78" s="75">
        <f t="shared" si="112"/>
        <v>275000000</v>
      </c>
      <c r="AK78" s="75"/>
      <c r="AL78" s="75"/>
      <c r="AM78" s="75"/>
      <c r="AN78" s="75"/>
      <c r="AO78" s="75"/>
      <c r="AP78" s="75"/>
      <c r="AQ78" s="75">
        <f>+'[5]FEBRERO 2015'!$O$1154-25000000</f>
        <v>275000000</v>
      </c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25">
        <f t="shared" si="91"/>
        <v>0</v>
      </c>
      <c r="BF78" s="75">
        <f t="shared" si="113"/>
        <v>0</v>
      </c>
      <c r="BG78" s="75">
        <f t="shared" si="114"/>
        <v>0</v>
      </c>
      <c r="BH78" s="75">
        <f t="shared" si="115"/>
        <v>0</v>
      </c>
      <c r="BI78" s="75"/>
      <c r="BJ78" s="75">
        <f t="shared" si="116"/>
        <v>0</v>
      </c>
      <c r="BK78" s="75"/>
      <c r="BL78" s="75">
        <f t="shared" si="117"/>
        <v>0</v>
      </c>
      <c r="BM78" s="75">
        <f t="shared" si="118"/>
        <v>0</v>
      </c>
      <c r="BN78" s="75"/>
      <c r="BO78" s="75">
        <f>V78-AS78</f>
        <v>0</v>
      </c>
      <c r="BP78" s="75">
        <f t="shared" si="138"/>
        <v>0</v>
      </c>
      <c r="BQ78" s="75">
        <f t="shared" si="140"/>
        <v>0</v>
      </c>
      <c r="BR78" s="75">
        <f t="shared" si="141"/>
        <v>0</v>
      </c>
      <c r="BS78" s="75">
        <f t="shared" si="142"/>
        <v>0</v>
      </c>
      <c r="BT78" s="75">
        <f t="shared" si="143"/>
        <v>0</v>
      </c>
      <c r="BU78" s="75">
        <f>AB78-AY78</f>
        <v>0</v>
      </c>
      <c r="BV78" s="75">
        <f t="shared" si="144"/>
        <v>0</v>
      </c>
      <c r="BW78" s="75">
        <f t="shared" si="145"/>
        <v>0</v>
      </c>
      <c r="BX78" s="75"/>
      <c r="BY78" s="75"/>
      <c r="BZ78" s="75">
        <f t="shared" si="120"/>
        <v>0</v>
      </c>
      <c r="CA78" s="25">
        <f t="shared" si="121"/>
        <v>0.89879176000000005</v>
      </c>
      <c r="CB78" s="75">
        <f t="shared" si="122"/>
        <v>247167734</v>
      </c>
      <c r="CC78" s="75"/>
      <c r="CD78" s="75"/>
      <c r="CE78" s="75"/>
      <c r="CF78" s="75"/>
      <c r="CG78" s="75"/>
      <c r="CH78" s="75"/>
      <c r="CI78" s="75">
        <f>+'[1]AGOSTO 2015'!$H$2570</f>
        <v>247167734</v>
      </c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25">
        <f t="shared" si="123"/>
        <v>0.10120823999999995</v>
      </c>
      <c r="CX78" s="75">
        <f t="shared" si="124"/>
        <v>27832266</v>
      </c>
      <c r="CY78" s="75"/>
      <c r="CZ78" s="75">
        <f>O78-CD78</f>
        <v>0</v>
      </c>
      <c r="DA78" s="75">
        <f>P78-CE78</f>
        <v>0</v>
      </c>
      <c r="DB78" s="75">
        <f t="shared" si="125"/>
        <v>0</v>
      </c>
      <c r="DC78" s="75"/>
      <c r="DD78" s="75">
        <f t="shared" si="126"/>
        <v>0</v>
      </c>
      <c r="DE78" s="75">
        <f t="shared" si="127"/>
        <v>27832266</v>
      </c>
      <c r="DF78" s="75"/>
      <c r="DG78" s="75">
        <f t="shared" si="128"/>
        <v>0</v>
      </c>
      <c r="DH78" s="75">
        <f t="shared" si="129"/>
        <v>0</v>
      </c>
      <c r="DI78" s="75"/>
      <c r="DJ78" s="75">
        <f t="shared" si="130"/>
        <v>0</v>
      </c>
      <c r="DK78" s="75">
        <f t="shared" si="131"/>
        <v>0</v>
      </c>
      <c r="DL78" s="75">
        <f t="shared" si="132"/>
        <v>0</v>
      </c>
      <c r="DM78" s="75">
        <f t="shared" si="133"/>
        <v>0</v>
      </c>
      <c r="DN78" s="75">
        <f t="shared" si="134"/>
        <v>0</v>
      </c>
      <c r="DO78" s="75">
        <f t="shared" si="135"/>
        <v>0</v>
      </c>
      <c r="DP78" s="75">
        <f t="shared" si="136"/>
        <v>0</v>
      </c>
      <c r="DQ78" s="75"/>
      <c r="DR78" s="75">
        <f t="shared" si="137"/>
        <v>0</v>
      </c>
    </row>
    <row r="79" spans="1:122" ht="35.25" hidden="1" customHeight="1" x14ac:dyDescent="0.3">
      <c r="A79" s="242"/>
      <c r="B79" s="271"/>
      <c r="C79" s="272" t="s">
        <v>269</v>
      </c>
      <c r="D79" s="272" t="s">
        <v>268</v>
      </c>
      <c r="E79" s="273">
        <v>520</v>
      </c>
      <c r="F79" s="181" t="s">
        <v>267</v>
      </c>
      <c r="G79" s="228"/>
      <c r="H79" s="79">
        <f t="shared" si="108"/>
        <v>770398</v>
      </c>
      <c r="I79" s="79">
        <f t="shared" si="109"/>
        <v>13396003</v>
      </c>
      <c r="J79" s="78"/>
      <c r="K79" s="78"/>
      <c r="L79" s="78"/>
      <c r="M79" s="75">
        <f t="shared" si="110"/>
        <v>14166401</v>
      </c>
      <c r="N79" s="45"/>
      <c r="O79" s="45"/>
      <c r="P79" s="45"/>
      <c r="Q79" s="45"/>
      <c r="R79" s="45"/>
      <c r="S79" s="45"/>
      <c r="T79" s="75"/>
      <c r="U79" s="75"/>
      <c r="V79" s="75"/>
      <c r="W79" s="75"/>
      <c r="X79" s="75"/>
      <c r="Y79" s="75"/>
      <c r="Z79" s="75"/>
      <c r="AA79" s="75"/>
      <c r="AB79" s="75"/>
      <c r="AC79" s="75"/>
      <c r="AD79" s="75"/>
      <c r="AE79" s="75"/>
      <c r="AF79" s="75"/>
      <c r="AG79" s="75">
        <f>5000000+3000000+6166401</f>
        <v>14166401</v>
      </c>
      <c r="AI79" s="25">
        <f t="shared" si="111"/>
        <v>0.3529477952798315</v>
      </c>
      <c r="AJ79" s="75">
        <f t="shared" si="112"/>
        <v>5000000</v>
      </c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>
        <f>+'[8]FEBRERO 2015'!$AC$1088</f>
        <v>5000000</v>
      </c>
      <c r="BE79" s="25">
        <f t="shared" si="91"/>
        <v>0.64705220472016856</v>
      </c>
      <c r="BF79" s="75">
        <f t="shared" si="113"/>
        <v>9166401</v>
      </c>
      <c r="BG79" s="75">
        <f t="shared" si="114"/>
        <v>0</v>
      </c>
      <c r="BH79" s="75">
        <f t="shared" si="115"/>
        <v>0</v>
      </c>
      <c r="BI79" s="75"/>
      <c r="BJ79" s="75">
        <f t="shared" si="116"/>
        <v>0</v>
      </c>
      <c r="BK79" s="75"/>
      <c r="BL79" s="75">
        <f t="shared" si="117"/>
        <v>0</v>
      </c>
      <c r="BM79" s="75">
        <f t="shared" si="118"/>
        <v>0</v>
      </c>
      <c r="BN79" s="75"/>
      <c r="BO79" s="75">
        <f>V79-AS79</f>
        <v>0</v>
      </c>
      <c r="BP79" s="75">
        <f t="shared" si="138"/>
        <v>0</v>
      </c>
      <c r="BQ79" s="75">
        <f t="shared" si="140"/>
        <v>0</v>
      </c>
      <c r="BR79" s="75">
        <f t="shared" si="141"/>
        <v>0</v>
      </c>
      <c r="BS79" s="75">
        <f t="shared" si="142"/>
        <v>0</v>
      </c>
      <c r="BT79" s="75">
        <f t="shared" si="143"/>
        <v>0</v>
      </c>
      <c r="BU79" s="75">
        <f>AB79-AY79</f>
        <v>0</v>
      </c>
      <c r="BV79" s="75">
        <f t="shared" si="144"/>
        <v>0</v>
      </c>
      <c r="BW79" s="75">
        <f t="shared" si="145"/>
        <v>0</v>
      </c>
      <c r="BX79" s="75"/>
      <c r="BY79" s="75"/>
      <c r="BZ79" s="75">
        <f t="shared" si="120"/>
        <v>9166401</v>
      </c>
      <c r="CA79" s="25">
        <f t="shared" si="121"/>
        <v>5.4382055117598325E-2</v>
      </c>
      <c r="CB79" s="75">
        <f t="shared" si="122"/>
        <v>770398</v>
      </c>
      <c r="CC79" s="75"/>
      <c r="CD79" s="75"/>
      <c r="CE79" s="75"/>
      <c r="CF79" s="75"/>
      <c r="CG79" s="75"/>
      <c r="CH79" s="75"/>
      <c r="CI79" s="75"/>
      <c r="CJ79" s="75"/>
      <c r="CK79" s="75"/>
      <c r="CL79" s="75"/>
      <c r="CM79" s="75"/>
      <c r="CN79" s="75"/>
      <c r="CO79" s="75"/>
      <c r="CP79" s="75"/>
      <c r="CQ79" s="75"/>
      <c r="CR79" s="75"/>
      <c r="CS79" s="75"/>
      <c r="CT79" s="75"/>
      <c r="CU79" s="75"/>
      <c r="CV79" s="75">
        <f>+'[8]FEBRERO 2015'!$H$1086</f>
        <v>770398</v>
      </c>
      <c r="CW79" s="25">
        <f t="shared" si="123"/>
        <v>0.9456179448824017</v>
      </c>
      <c r="CX79" s="75">
        <f t="shared" si="124"/>
        <v>13396003</v>
      </c>
      <c r="CY79" s="75"/>
      <c r="CZ79" s="75"/>
      <c r="DA79" s="75"/>
      <c r="DB79" s="75">
        <f t="shared" si="125"/>
        <v>0</v>
      </c>
      <c r="DC79" s="75"/>
      <c r="DD79" s="75">
        <f t="shared" si="126"/>
        <v>0</v>
      </c>
      <c r="DE79" s="75">
        <f t="shared" si="127"/>
        <v>0</v>
      </c>
      <c r="DF79" s="75"/>
      <c r="DG79" s="75">
        <f t="shared" si="128"/>
        <v>0</v>
      </c>
      <c r="DH79" s="75">
        <f t="shared" si="129"/>
        <v>0</v>
      </c>
      <c r="DI79" s="75"/>
      <c r="DJ79" s="75">
        <f t="shared" si="130"/>
        <v>0</v>
      </c>
      <c r="DK79" s="75">
        <f t="shared" si="131"/>
        <v>0</v>
      </c>
      <c r="DL79" s="75">
        <f t="shared" si="132"/>
        <v>0</v>
      </c>
      <c r="DM79" s="75">
        <f t="shared" si="133"/>
        <v>0</v>
      </c>
      <c r="DN79" s="75">
        <f t="shared" si="134"/>
        <v>0</v>
      </c>
      <c r="DO79" s="75">
        <f t="shared" si="135"/>
        <v>0</v>
      </c>
      <c r="DP79" s="75">
        <f t="shared" si="136"/>
        <v>0</v>
      </c>
      <c r="DQ79" s="75"/>
      <c r="DR79" s="75">
        <f t="shared" si="137"/>
        <v>13396003</v>
      </c>
    </row>
    <row r="80" spans="1:122" ht="37.5" hidden="1" customHeight="1" x14ac:dyDescent="0.3">
      <c r="A80" s="242"/>
      <c r="B80" s="271"/>
      <c r="C80" s="272" t="s">
        <v>266</v>
      </c>
      <c r="D80" s="272" t="s">
        <v>265</v>
      </c>
      <c r="E80" s="273">
        <v>520</v>
      </c>
      <c r="F80" s="181" t="s">
        <v>74</v>
      </c>
      <c r="G80" s="228"/>
      <c r="H80" s="79">
        <f t="shared" si="108"/>
        <v>4550000</v>
      </c>
      <c r="I80" s="79">
        <f t="shared" si="109"/>
        <v>5450000</v>
      </c>
      <c r="J80" s="78"/>
      <c r="K80" s="78"/>
      <c r="L80" s="78"/>
      <c r="M80" s="75">
        <f t="shared" si="110"/>
        <v>10000000</v>
      </c>
      <c r="N80" s="45"/>
      <c r="O80" s="45"/>
      <c r="P80" s="45"/>
      <c r="Q80" s="45"/>
      <c r="R80" s="45"/>
      <c r="S80" s="45"/>
      <c r="T80" s="75"/>
      <c r="U80" s="75"/>
      <c r="V80" s="75"/>
      <c r="W80" s="75"/>
      <c r="X80" s="75"/>
      <c r="Y80" s="75"/>
      <c r="Z80" s="75"/>
      <c r="AA80" s="75"/>
      <c r="AB80" s="75"/>
      <c r="AC80" s="75"/>
      <c r="AD80" s="75"/>
      <c r="AE80" s="75"/>
      <c r="AF80" s="75"/>
      <c r="AG80" s="75">
        <f>5000000+5000000</f>
        <v>10000000</v>
      </c>
      <c r="AI80" s="25">
        <f t="shared" si="111"/>
        <v>0.45500000000000002</v>
      </c>
      <c r="AJ80" s="75">
        <f t="shared" si="112"/>
        <v>4550000</v>
      </c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>
        <f>+'[1]AGOSTO 2015'!$AD$2654</f>
        <v>4550000</v>
      </c>
      <c r="BE80" s="25">
        <f t="shared" si="91"/>
        <v>0.54499999999999993</v>
      </c>
      <c r="BF80" s="75">
        <f t="shared" si="113"/>
        <v>5450000</v>
      </c>
      <c r="BG80" s="75">
        <f t="shared" si="114"/>
        <v>0</v>
      </c>
      <c r="BH80" s="75">
        <f t="shared" si="115"/>
        <v>0</v>
      </c>
      <c r="BI80" s="75"/>
      <c r="BJ80" s="75">
        <f t="shared" si="116"/>
        <v>0</v>
      </c>
      <c r="BK80" s="75"/>
      <c r="BL80" s="75">
        <f t="shared" si="117"/>
        <v>0</v>
      </c>
      <c r="BM80" s="75">
        <f t="shared" si="118"/>
        <v>0</v>
      </c>
      <c r="BN80" s="75"/>
      <c r="BO80" s="75">
        <f>V80-AS80</f>
        <v>0</v>
      </c>
      <c r="BP80" s="75">
        <f t="shared" si="138"/>
        <v>0</v>
      </c>
      <c r="BQ80" s="75"/>
      <c r="BR80" s="75">
        <f t="shared" si="141"/>
        <v>0</v>
      </c>
      <c r="BS80" s="75">
        <f t="shared" si="142"/>
        <v>0</v>
      </c>
      <c r="BT80" s="75">
        <f t="shared" si="143"/>
        <v>0</v>
      </c>
      <c r="BU80" s="75">
        <f>AB80-AY80</f>
        <v>0</v>
      </c>
      <c r="BV80" s="75">
        <f t="shared" si="144"/>
        <v>0</v>
      </c>
      <c r="BW80" s="75">
        <f t="shared" si="145"/>
        <v>0</v>
      </c>
      <c r="BX80" s="75"/>
      <c r="BY80" s="75"/>
      <c r="BZ80" s="75">
        <f t="shared" si="120"/>
        <v>5450000</v>
      </c>
      <c r="CA80" s="25">
        <f t="shared" si="121"/>
        <v>0.45500000000000002</v>
      </c>
      <c r="CB80" s="75">
        <f t="shared" si="122"/>
        <v>4550000</v>
      </c>
      <c r="CC80" s="75"/>
      <c r="CD80" s="75"/>
      <c r="CE80" s="75"/>
      <c r="CF80" s="75"/>
      <c r="CG80" s="75"/>
      <c r="CH80" s="75"/>
      <c r="CI80" s="75"/>
      <c r="CJ80" s="75"/>
      <c r="CK80" s="75"/>
      <c r="CL80" s="75"/>
      <c r="CM80" s="75"/>
      <c r="CN80" s="75"/>
      <c r="CO80" s="75"/>
      <c r="CP80" s="75"/>
      <c r="CQ80" s="75"/>
      <c r="CR80" s="75"/>
      <c r="CS80" s="75"/>
      <c r="CT80" s="75"/>
      <c r="CU80" s="75"/>
      <c r="CV80" s="75">
        <f>+'[6]JUNIO 2015'!$H$2022</f>
        <v>4550000</v>
      </c>
      <c r="CW80" s="25">
        <f t="shared" si="123"/>
        <v>0.54499999999999993</v>
      </c>
      <c r="CX80" s="75">
        <f t="shared" si="124"/>
        <v>5450000</v>
      </c>
      <c r="CY80" s="75"/>
      <c r="CZ80" s="75"/>
      <c r="DA80" s="75"/>
      <c r="DB80" s="75">
        <f t="shared" si="125"/>
        <v>0</v>
      </c>
      <c r="DC80" s="75"/>
      <c r="DD80" s="75">
        <f t="shared" si="126"/>
        <v>0</v>
      </c>
      <c r="DE80" s="75">
        <f t="shared" si="127"/>
        <v>0</v>
      </c>
      <c r="DF80" s="75"/>
      <c r="DG80" s="75">
        <f t="shared" si="128"/>
        <v>0</v>
      </c>
      <c r="DH80" s="75">
        <f t="shared" si="129"/>
        <v>0</v>
      </c>
      <c r="DI80" s="75"/>
      <c r="DJ80" s="75">
        <f t="shared" si="130"/>
        <v>0</v>
      </c>
      <c r="DK80" s="75">
        <f t="shared" si="131"/>
        <v>0</v>
      </c>
      <c r="DL80" s="75">
        <f t="shared" si="132"/>
        <v>0</v>
      </c>
      <c r="DM80" s="75">
        <f t="shared" si="133"/>
        <v>0</v>
      </c>
      <c r="DN80" s="75">
        <f t="shared" si="134"/>
        <v>0</v>
      </c>
      <c r="DO80" s="75">
        <f t="shared" si="135"/>
        <v>0</v>
      </c>
      <c r="DP80" s="75">
        <f t="shared" si="136"/>
        <v>0</v>
      </c>
      <c r="DQ80" s="75"/>
      <c r="DR80" s="75">
        <f t="shared" si="137"/>
        <v>5450000</v>
      </c>
    </row>
    <row r="81" spans="1:122" ht="26.25" hidden="1" customHeight="1" x14ac:dyDescent="0.3">
      <c r="A81" s="242"/>
      <c r="B81" s="271"/>
      <c r="C81" s="272" t="s">
        <v>264</v>
      </c>
      <c r="D81" s="272" t="s">
        <v>263</v>
      </c>
      <c r="E81" s="273">
        <v>520</v>
      </c>
      <c r="F81" s="181" t="s">
        <v>214</v>
      </c>
      <c r="G81" s="228"/>
      <c r="H81" s="79">
        <f t="shared" si="108"/>
        <v>189398040</v>
      </c>
      <c r="I81" s="79">
        <f t="shared" si="109"/>
        <v>160601960</v>
      </c>
      <c r="J81" s="78"/>
      <c r="K81" s="78"/>
      <c r="L81" s="78"/>
      <c r="M81" s="75">
        <f t="shared" si="110"/>
        <v>350000000</v>
      </c>
      <c r="N81" s="45"/>
      <c r="O81" s="45"/>
      <c r="P81" s="45"/>
      <c r="Q81" s="45"/>
      <c r="R81" s="45"/>
      <c r="S81" s="45"/>
      <c r="T81" s="75">
        <f>400000000-30000000-20000000</f>
        <v>350000000</v>
      </c>
      <c r="U81" s="75"/>
      <c r="V81" s="75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113"/>
      <c r="AI81" s="25">
        <f t="shared" si="111"/>
        <v>1</v>
      </c>
      <c r="AJ81" s="75">
        <f t="shared" si="112"/>
        <v>350000000</v>
      </c>
      <c r="AK81" s="75"/>
      <c r="AL81" s="75"/>
      <c r="AM81" s="75"/>
      <c r="AN81" s="75"/>
      <c r="AO81" s="75"/>
      <c r="AP81" s="75"/>
      <c r="AQ81" s="75">
        <f>+'[4]MARZO 2015'!$O$1360-20000000</f>
        <v>350000000</v>
      </c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25">
        <f t="shared" si="91"/>
        <v>0</v>
      </c>
      <c r="BF81" s="75">
        <f t="shared" si="113"/>
        <v>0</v>
      </c>
      <c r="BG81" s="75">
        <f t="shared" si="114"/>
        <v>0</v>
      </c>
      <c r="BH81" s="75">
        <f t="shared" si="115"/>
        <v>0</v>
      </c>
      <c r="BI81" s="75"/>
      <c r="BJ81" s="75">
        <f t="shared" si="116"/>
        <v>0</v>
      </c>
      <c r="BK81" s="75"/>
      <c r="BL81" s="75">
        <f t="shared" si="117"/>
        <v>0</v>
      </c>
      <c r="BM81" s="75">
        <f t="shared" si="118"/>
        <v>0</v>
      </c>
      <c r="BN81" s="75"/>
      <c r="BO81" s="75">
        <f t="shared" ref="BO81:BO102" si="146">+V81-AS81</f>
        <v>0</v>
      </c>
      <c r="BP81" s="75">
        <f t="shared" si="138"/>
        <v>0</v>
      </c>
      <c r="BQ81" s="75">
        <f>+X81-AU81</f>
        <v>0</v>
      </c>
      <c r="BR81" s="75">
        <f t="shared" si="141"/>
        <v>0</v>
      </c>
      <c r="BS81" s="75">
        <f t="shared" si="142"/>
        <v>0</v>
      </c>
      <c r="BT81" s="75">
        <f t="shared" si="143"/>
        <v>0</v>
      </c>
      <c r="BU81" s="75">
        <f t="shared" ref="BU81:BU102" si="147">+AB81-AY81</f>
        <v>0</v>
      </c>
      <c r="BV81" s="75">
        <f t="shared" si="144"/>
        <v>0</v>
      </c>
      <c r="BW81" s="75">
        <f t="shared" si="145"/>
        <v>0</v>
      </c>
      <c r="BX81" s="75">
        <f>+AE81-BB81</f>
        <v>0</v>
      </c>
      <c r="BY81" s="75"/>
      <c r="BZ81" s="75">
        <f t="shared" si="120"/>
        <v>0</v>
      </c>
      <c r="CA81" s="25">
        <f t="shared" si="121"/>
        <v>0.5411372571428571</v>
      </c>
      <c r="CB81" s="75">
        <f t="shared" si="122"/>
        <v>189398040</v>
      </c>
      <c r="CC81" s="75"/>
      <c r="CD81" s="75"/>
      <c r="CE81" s="75"/>
      <c r="CF81" s="75"/>
      <c r="CG81" s="75"/>
      <c r="CH81" s="75"/>
      <c r="CI81" s="75">
        <f>+'[1]AGOSTO 2015'!$H$2661</f>
        <v>189398040</v>
      </c>
      <c r="CJ81" s="75"/>
      <c r="CK81" s="75"/>
      <c r="CL81" s="75"/>
      <c r="CM81" s="75"/>
      <c r="CN81" s="75"/>
      <c r="CO81" s="75"/>
      <c r="CP81" s="75"/>
      <c r="CQ81" s="75"/>
      <c r="CR81" s="75"/>
      <c r="CS81" s="75"/>
      <c r="CT81" s="75"/>
      <c r="CU81" s="75"/>
      <c r="CV81" s="75"/>
      <c r="CW81" s="25">
        <f t="shared" si="123"/>
        <v>0.4588627428571429</v>
      </c>
      <c r="CX81" s="75">
        <f t="shared" si="124"/>
        <v>160601960</v>
      </c>
      <c r="CY81" s="75"/>
      <c r="CZ81" s="75"/>
      <c r="DA81" s="75"/>
      <c r="DB81" s="75">
        <f t="shared" si="125"/>
        <v>0</v>
      </c>
      <c r="DC81" s="75"/>
      <c r="DD81" s="75">
        <f t="shared" si="126"/>
        <v>0</v>
      </c>
      <c r="DE81" s="75">
        <f t="shared" si="127"/>
        <v>160601960</v>
      </c>
      <c r="DF81" s="75"/>
      <c r="DG81" s="75">
        <f t="shared" si="128"/>
        <v>0</v>
      </c>
      <c r="DH81" s="75">
        <f t="shared" si="129"/>
        <v>0</v>
      </c>
      <c r="DI81" s="75"/>
      <c r="DJ81" s="75">
        <f t="shared" si="130"/>
        <v>0</v>
      </c>
      <c r="DK81" s="75">
        <f t="shared" si="131"/>
        <v>0</v>
      </c>
      <c r="DL81" s="75">
        <f t="shared" si="132"/>
        <v>0</v>
      </c>
      <c r="DM81" s="75">
        <f t="shared" si="133"/>
        <v>0</v>
      </c>
      <c r="DN81" s="75">
        <f t="shared" si="134"/>
        <v>0</v>
      </c>
      <c r="DO81" s="75">
        <f t="shared" si="135"/>
        <v>0</v>
      </c>
      <c r="DP81" s="75">
        <f t="shared" si="136"/>
        <v>0</v>
      </c>
      <c r="DQ81" s="75"/>
      <c r="DR81" s="75">
        <f t="shared" si="137"/>
        <v>0</v>
      </c>
    </row>
    <row r="82" spans="1:122" ht="49.5" hidden="1" customHeight="1" x14ac:dyDescent="0.3">
      <c r="A82" s="242"/>
      <c r="B82" s="271"/>
      <c r="C82" s="272" t="s">
        <v>262</v>
      </c>
      <c r="D82" s="272" t="s">
        <v>261</v>
      </c>
      <c r="E82" s="273">
        <v>520</v>
      </c>
      <c r="F82" s="181" t="s">
        <v>74</v>
      </c>
      <c r="G82" s="228"/>
      <c r="H82" s="79">
        <f t="shared" si="108"/>
        <v>4697418</v>
      </c>
      <c r="I82" s="79">
        <f t="shared" si="109"/>
        <v>1802582</v>
      </c>
      <c r="J82" s="78"/>
      <c r="K82" s="78"/>
      <c r="L82" s="78"/>
      <c r="M82" s="75">
        <f t="shared" si="110"/>
        <v>6500000</v>
      </c>
      <c r="N82" s="45"/>
      <c r="O82" s="45"/>
      <c r="P82" s="45"/>
      <c r="Q82" s="45"/>
      <c r="R82" s="45"/>
      <c r="S82" s="4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>
        <f>4000000+2500000</f>
        <v>6500000</v>
      </c>
      <c r="AH82" s="113"/>
      <c r="AI82" s="25">
        <f t="shared" si="111"/>
        <v>1</v>
      </c>
      <c r="AJ82" s="75">
        <f t="shared" si="112"/>
        <v>6500000</v>
      </c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>
        <f>+'[2]JULIO 2015'!$AD$2444</f>
        <v>6500000</v>
      </c>
      <c r="BE82" s="25">
        <f t="shared" si="91"/>
        <v>0</v>
      </c>
      <c r="BF82" s="75">
        <f t="shared" si="113"/>
        <v>0</v>
      </c>
      <c r="BG82" s="75">
        <f t="shared" si="114"/>
        <v>0</v>
      </c>
      <c r="BH82" s="75">
        <f t="shared" si="115"/>
        <v>0</v>
      </c>
      <c r="BI82" s="75"/>
      <c r="BJ82" s="75">
        <f t="shared" si="116"/>
        <v>0</v>
      </c>
      <c r="BK82" s="75"/>
      <c r="BL82" s="75">
        <f t="shared" si="117"/>
        <v>0</v>
      </c>
      <c r="BM82" s="75">
        <f t="shared" si="118"/>
        <v>0</v>
      </c>
      <c r="BN82" s="75"/>
      <c r="BO82" s="75">
        <f t="shared" si="146"/>
        <v>0</v>
      </c>
      <c r="BP82" s="75">
        <f t="shared" si="138"/>
        <v>0</v>
      </c>
      <c r="BQ82" s="75">
        <f>+X82-AU82</f>
        <v>0</v>
      </c>
      <c r="BR82" s="75">
        <f t="shared" si="141"/>
        <v>0</v>
      </c>
      <c r="BS82" s="75">
        <f t="shared" si="142"/>
        <v>0</v>
      </c>
      <c r="BT82" s="75">
        <f t="shared" si="143"/>
        <v>0</v>
      </c>
      <c r="BU82" s="75">
        <f t="shared" si="147"/>
        <v>0</v>
      </c>
      <c r="BV82" s="75">
        <f t="shared" si="144"/>
        <v>0</v>
      </c>
      <c r="BW82" s="75">
        <f t="shared" si="145"/>
        <v>0</v>
      </c>
      <c r="BX82" s="75"/>
      <c r="BY82" s="75"/>
      <c r="BZ82" s="75">
        <f t="shared" si="120"/>
        <v>0</v>
      </c>
      <c r="CA82" s="25">
        <f t="shared" si="121"/>
        <v>0.72267969230769236</v>
      </c>
      <c r="CB82" s="75">
        <f t="shared" si="122"/>
        <v>4697418</v>
      </c>
      <c r="CC82" s="75"/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5"/>
      <c r="CP82" s="75"/>
      <c r="CQ82" s="75"/>
      <c r="CR82" s="75"/>
      <c r="CS82" s="75"/>
      <c r="CT82" s="75"/>
      <c r="CU82" s="75"/>
      <c r="CV82" s="75">
        <f>+'[1]AGOSTO 2015'!$H$2737</f>
        <v>4697418</v>
      </c>
      <c r="CW82" s="25">
        <f t="shared" si="123"/>
        <v>0.27732030769230764</v>
      </c>
      <c r="CX82" s="75">
        <f t="shared" si="124"/>
        <v>1802582</v>
      </c>
      <c r="CY82" s="75"/>
      <c r="CZ82" s="75"/>
      <c r="DA82" s="75"/>
      <c r="DB82" s="75">
        <f t="shared" si="125"/>
        <v>0</v>
      </c>
      <c r="DC82" s="75"/>
      <c r="DD82" s="75">
        <f t="shared" si="126"/>
        <v>0</v>
      </c>
      <c r="DE82" s="75">
        <f t="shared" si="127"/>
        <v>0</v>
      </c>
      <c r="DF82" s="75"/>
      <c r="DG82" s="75">
        <f t="shared" si="128"/>
        <v>0</v>
      </c>
      <c r="DH82" s="75">
        <f t="shared" si="129"/>
        <v>0</v>
      </c>
      <c r="DI82" s="75"/>
      <c r="DJ82" s="75">
        <f t="shared" si="130"/>
        <v>0</v>
      </c>
      <c r="DK82" s="75">
        <f t="shared" si="131"/>
        <v>0</v>
      </c>
      <c r="DL82" s="75">
        <f t="shared" si="132"/>
        <v>0</v>
      </c>
      <c r="DM82" s="75">
        <f t="shared" si="133"/>
        <v>0</v>
      </c>
      <c r="DN82" s="75">
        <f t="shared" si="134"/>
        <v>0</v>
      </c>
      <c r="DO82" s="75">
        <f t="shared" si="135"/>
        <v>0</v>
      </c>
      <c r="DP82" s="75">
        <f t="shared" si="136"/>
        <v>0</v>
      </c>
      <c r="DQ82" s="75"/>
      <c r="DR82" s="75">
        <f t="shared" si="137"/>
        <v>1802582</v>
      </c>
    </row>
    <row r="83" spans="1:122" ht="36" hidden="1" customHeight="1" x14ac:dyDescent="0.3">
      <c r="A83" s="242"/>
      <c r="B83" s="271"/>
      <c r="C83" s="272" t="s">
        <v>260</v>
      </c>
      <c r="D83" s="272" t="s">
        <v>259</v>
      </c>
      <c r="E83" s="273">
        <v>520</v>
      </c>
      <c r="F83" s="181" t="s">
        <v>214</v>
      </c>
      <c r="G83" s="228"/>
      <c r="H83" s="79">
        <f t="shared" si="108"/>
        <v>25243919</v>
      </c>
      <c r="I83" s="79">
        <f t="shared" si="109"/>
        <v>74756081</v>
      </c>
      <c r="J83" s="78"/>
      <c r="K83" s="78"/>
      <c r="L83" s="78"/>
      <c r="M83" s="75">
        <f t="shared" si="110"/>
        <v>100000000</v>
      </c>
      <c r="N83" s="117"/>
      <c r="O83" s="115">
        <f>100000000-100000000</f>
        <v>0</v>
      </c>
      <c r="P83" s="115"/>
      <c r="Q83" s="117"/>
      <c r="R83" s="117"/>
      <c r="S83" s="117"/>
      <c r="T83" s="75">
        <v>100000000</v>
      </c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113"/>
      <c r="AI83" s="25">
        <f t="shared" si="111"/>
        <v>1</v>
      </c>
      <c r="AJ83" s="75">
        <f t="shared" si="112"/>
        <v>100000000</v>
      </c>
      <c r="AK83" s="75"/>
      <c r="AL83" s="75"/>
      <c r="AM83" s="75"/>
      <c r="AN83" s="75"/>
      <c r="AO83" s="75"/>
      <c r="AP83" s="75"/>
      <c r="AQ83" s="75">
        <f>+'[5]FEBRERO 2015'!$O$1182</f>
        <v>100000000</v>
      </c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25">
        <f t="shared" si="91"/>
        <v>0</v>
      </c>
      <c r="BF83" s="75">
        <f t="shared" si="113"/>
        <v>0</v>
      </c>
      <c r="BG83" s="75">
        <f t="shared" si="114"/>
        <v>0</v>
      </c>
      <c r="BH83" s="75">
        <f t="shared" si="115"/>
        <v>0</v>
      </c>
      <c r="BI83" s="75"/>
      <c r="BJ83" s="75">
        <f t="shared" si="116"/>
        <v>0</v>
      </c>
      <c r="BK83" s="75"/>
      <c r="BL83" s="75">
        <f t="shared" si="117"/>
        <v>0</v>
      </c>
      <c r="BM83" s="75">
        <f t="shared" si="118"/>
        <v>0</v>
      </c>
      <c r="BN83" s="75"/>
      <c r="BO83" s="75">
        <f t="shared" si="146"/>
        <v>0</v>
      </c>
      <c r="BP83" s="75">
        <f t="shared" si="138"/>
        <v>0</v>
      </c>
      <c r="BQ83" s="75">
        <f>+X83-AU83</f>
        <v>0</v>
      </c>
      <c r="BR83" s="75">
        <f t="shared" si="141"/>
        <v>0</v>
      </c>
      <c r="BS83" s="75">
        <f t="shared" si="142"/>
        <v>0</v>
      </c>
      <c r="BT83" s="75">
        <f t="shared" si="143"/>
        <v>0</v>
      </c>
      <c r="BU83" s="75">
        <f t="shared" si="147"/>
        <v>0</v>
      </c>
      <c r="BV83" s="75">
        <f t="shared" si="144"/>
        <v>0</v>
      </c>
      <c r="BW83" s="75">
        <f t="shared" si="145"/>
        <v>0</v>
      </c>
      <c r="BX83" s="75"/>
      <c r="BY83" s="75"/>
      <c r="BZ83" s="75">
        <f t="shared" si="120"/>
        <v>0</v>
      </c>
      <c r="CA83" s="25">
        <f t="shared" si="121"/>
        <v>0.25243918999999998</v>
      </c>
      <c r="CB83" s="75">
        <f t="shared" si="122"/>
        <v>25243919</v>
      </c>
      <c r="CC83" s="75"/>
      <c r="CD83" s="75"/>
      <c r="CE83" s="75"/>
      <c r="CF83" s="75"/>
      <c r="CG83" s="75"/>
      <c r="CH83" s="75"/>
      <c r="CI83" s="75">
        <f>+'[1]AGOSTO 2015'!$H$2755</f>
        <v>25243919</v>
      </c>
      <c r="CJ83" s="75"/>
      <c r="CK83" s="75"/>
      <c r="CL83" s="75"/>
      <c r="CM83" s="75"/>
      <c r="CN83" s="75"/>
      <c r="CO83" s="75"/>
      <c r="CP83" s="75"/>
      <c r="CQ83" s="75"/>
      <c r="CR83" s="75"/>
      <c r="CS83" s="75"/>
      <c r="CT83" s="75"/>
      <c r="CU83" s="75"/>
      <c r="CV83" s="75"/>
      <c r="CW83" s="25">
        <f t="shared" si="123"/>
        <v>0.74756080999999996</v>
      </c>
      <c r="CX83" s="75">
        <f t="shared" si="124"/>
        <v>74756081</v>
      </c>
      <c r="CY83" s="75"/>
      <c r="CZ83" s="75">
        <f>O83-CD83</f>
        <v>0</v>
      </c>
      <c r="DA83" s="75">
        <f>P83-CE83</f>
        <v>0</v>
      </c>
      <c r="DB83" s="75">
        <f t="shared" si="125"/>
        <v>0</v>
      </c>
      <c r="DC83" s="75"/>
      <c r="DD83" s="75">
        <f t="shared" si="126"/>
        <v>0</v>
      </c>
      <c r="DE83" s="75">
        <f t="shared" si="127"/>
        <v>74756081</v>
      </c>
      <c r="DF83" s="75"/>
      <c r="DG83" s="75">
        <f t="shared" si="128"/>
        <v>0</v>
      </c>
      <c r="DH83" s="75">
        <f t="shared" si="129"/>
        <v>0</v>
      </c>
      <c r="DI83" s="75"/>
      <c r="DJ83" s="75">
        <f t="shared" si="130"/>
        <v>0</v>
      </c>
      <c r="DK83" s="75">
        <f t="shared" si="131"/>
        <v>0</v>
      </c>
      <c r="DL83" s="75">
        <f t="shared" si="132"/>
        <v>0</v>
      </c>
      <c r="DM83" s="75">
        <f t="shared" si="133"/>
        <v>0</v>
      </c>
      <c r="DN83" s="75">
        <f t="shared" si="134"/>
        <v>0</v>
      </c>
      <c r="DO83" s="75">
        <f t="shared" si="135"/>
        <v>0</v>
      </c>
      <c r="DP83" s="75">
        <f t="shared" si="136"/>
        <v>0</v>
      </c>
      <c r="DQ83" s="75"/>
      <c r="DR83" s="75">
        <f t="shared" si="137"/>
        <v>0</v>
      </c>
    </row>
    <row r="84" spans="1:122" ht="33" hidden="1" customHeight="1" x14ac:dyDescent="0.3">
      <c r="A84" s="242"/>
      <c r="B84" s="271"/>
      <c r="C84" s="272" t="s">
        <v>258</v>
      </c>
      <c r="D84" s="272" t="s">
        <v>257</v>
      </c>
      <c r="E84" s="273">
        <v>520</v>
      </c>
      <c r="F84" s="181" t="s">
        <v>214</v>
      </c>
      <c r="G84" s="228"/>
      <c r="H84" s="79">
        <f t="shared" si="108"/>
        <v>63277331</v>
      </c>
      <c r="I84" s="79">
        <f t="shared" si="109"/>
        <v>66722669</v>
      </c>
      <c r="J84" s="78"/>
      <c r="K84" s="78"/>
      <c r="L84" s="78"/>
      <c r="M84" s="75">
        <f t="shared" si="110"/>
        <v>130000000</v>
      </c>
      <c r="N84" s="45"/>
      <c r="O84" s="115">
        <f>200000000-200000000</f>
        <v>0</v>
      </c>
      <c r="P84" s="115"/>
      <c r="Q84" s="45"/>
      <c r="R84" s="45"/>
      <c r="S84" s="45"/>
      <c r="T84" s="75">
        <f>200000000-60000000-10000000</f>
        <v>130000000</v>
      </c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5"/>
      <c r="AH84" s="113"/>
      <c r="AI84" s="25">
        <f t="shared" si="111"/>
        <v>1</v>
      </c>
      <c r="AJ84" s="75">
        <f t="shared" si="112"/>
        <v>130000000</v>
      </c>
      <c r="AK84" s="75"/>
      <c r="AL84" s="75"/>
      <c r="AM84" s="75"/>
      <c r="AN84" s="75"/>
      <c r="AO84" s="75"/>
      <c r="AP84" s="75"/>
      <c r="AQ84" s="75">
        <f>+'[3]ABRIL 2015'!$O$1649-10000000</f>
        <v>130000000</v>
      </c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25">
        <f t="shared" si="91"/>
        <v>0</v>
      </c>
      <c r="BF84" s="75">
        <f t="shared" si="113"/>
        <v>0</v>
      </c>
      <c r="BG84" s="75">
        <f t="shared" si="114"/>
        <v>0</v>
      </c>
      <c r="BH84" s="75">
        <f t="shared" si="115"/>
        <v>0</v>
      </c>
      <c r="BI84" s="75"/>
      <c r="BJ84" s="75">
        <f t="shared" si="116"/>
        <v>0</v>
      </c>
      <c r="BK84" s="75"/>
      <c r="BL84" s="75">
        <f t="shared" si="117"/>
        <v>0</v>
      </c>
      <c r="BM84" s="75">
        <f t="shared" si="118"/>
        <v>0</v>
      </c>
      <c r="BN84" s="75"/>
      <c r="BO84" s="75">
        <f t="shared" si="146"/>
        <v>0</v>
      </c>
      <c r="BP84" s="75">
        <f t="shared" si="138"/>
        <v>0</v>
      </c>
      <c r="BQ84" s="75">
        <f>+X84-AU84</f>
        <v>0</v>
      </c>
      <c r="BR84" s="75">
        <f t="shared" si="141"/>
        <v>0</v>
      </c>
      <c r="BS84" s="75">
        <f t="shared" si="142"/>
        <v>0</v>
      </c>
      <c r="BT84" s="75">
        <f t="shared" si="143"/>
        <v>0</v>
      </c>
      <c r="BU84" s="75">
        <f t="shared" si="147"/>
        <v>0</v>
      </c>
      <c r="BV84" s="75">
        <f t="shared" si="144"/>
        <v>0</v>
      </c>
      <c r="BW84" s="75">
        <f t="shared" si="145"/>
        <v>0</v>
      </c>
      <c r="BX84" s="75"/>
      <c r="BY84" s="75"/>
      <c r="BZ84" s="75">
        <f t="shared" si="120"/>
        <v>0</v>
      </c>
      <c r="CA84" s="25">
        <f t="shared" si="121"/>
        <v>0.48674869999999998</v>
      </c>
      <c r="CB84" s="75">
        <f t="shared" si="122"/>
        <v>63277331</v>
      </c>
      <c r="CC84" s="75"/>
      <c r="CD84" s="75"/>
      <c r="CE84" s="75"/>
      <c r="CF84" s="75"/>
      <c r="CG84" s="75"/>
      <c r="CH84" s="75"/>
      <c r="CI84" s="75">
        <f>+'[1]AGOSTO 2015'!$H$2792</f>
        <v>63277331</v>
      </c>
      <c r="CJ84" s="75"/>
      <c r="CK84" s="75"/>
      <c r="CL84" s="75"/>
      <c r="CM84" s="75"/>
      <c r="CN84" s="75"/>
      <c r="CO84" s="75"/>
      <c r="CP84" s="75"/>
      <c r="CQ84" s="75"/>
      <c r="CR84" s="75"/>
      <c r="CS84" s="75"/>
      <c r="CT84" s="75"/>
      <c r="CU84" s="75"/>
      <c r="CV84" s="75"/>
      <c r="CW84" s="25">
        <f t="shared" si="123"/>
        <v>0.51325130000000008</v>
      </c>
      <c r="CX84" s="75">
        <f t="shared" si="124"/>
        <v>66722669</v>
      </c>
      <c r="CY84" s="75"/>
      <c r="CZ84" s="75">
        <f>O84-CD84</f>
        <v>0</v>
      </c>
      <c r="DA84" s="75">
        <f>P84-CE84</f>
        <v>0</v>
      </c>
      <c r="DB84" s="75">
        <f t="shared" si="125"/>
        <v>0</v>
      </c>
      <c r="DC84" s="75"/>
      <c r="DD84" s="75">
        <f t="shared" si="126"/>
        <v>0</v>
      </c>
      <c r="DE84" s="75">
        <f t="shared" si="127"/>
        <v>66722669</v>
      </c>
      <c r="DF84" s="75"/>
      <c r="DG84" s="75">
        <f t="shared" si="128"/>
        <v>0</v>
      </c>
      <c r="DH84" s="75">
        <f t="shared" si="129"/>
        <v>0</v>
      </c>
      <c r="DI84" s="75"/>
      <c r="DJ84" s="75">
        <f t="shared" si="130"/>
        <v>0</v>
      </c>
      <c r="DK84" s="75">
        <f t="shared" si="131"/>
        <v>0</v>
      </c>
      <c r="DL84" s="75">
        <f t="shared" si="132"/>
        <v>0</v>
      </c>
      <c r="DM84" s="75">
        <f t="shared" si="133"/>
        <v>0</v>
      </c>
      <c r="DN84" s="75">
        <f t="shared" si="134"/>
        <v>0</v>
      </c>
      <c r="DO84" s="75">
        <f t="shared" si="135"/>
        <v>0</v>
      </c>
      <c r="DP84" s="75">
        <f t="shared" si="136"/>
        <v>0</v>
      </c>
      <c r="DQ84" s="75"/>
      <c r="DR84" s="75">
        <f t="shared" si="137"/>
        <v>0</v>
      </c>
    </row>
    <row r="85" spans="1:122" ht="57.75" hidden="1" customHeight="1" x14ac:dyDescent="0.3">
      <c r="A85" s="242"/>
      <c r="B85" s="271"/>
      <c r="C85" s="272" t="s">
        <v>256</v>
      </c>
      <c r="D85" s="272" t="s">
        <v>255</v>
      </c>
      <c r="E85" s="273">
        <v>520</v>
      </c>
      <c r="F85" s="181" t="s">
        <v>254</v>
      </c>
      <c r="G85" s="228"/>
      <c r="H85" s="79">
        <f t="shared" si="108"/>
        <v>394173684</v>
      </c>
      <c r="I85" s="79">
        <f t="shared" si="109"/>
        <v>47370149</v>
      </c>
      <c r="J85" s="78"/>
      <c r="K85" s="78"/>
      <c r="L85" s="78"/>
      <c r="M85" s="75">
        <f t="shared" si="110"/>
        <v>441543833</v>
      </c>
      <c r="N85" s="117"/>
      <c r="O85" s="117"/>
      <c r="P85" s="117"/>
      <c r="Q85" s="117"/>
      <c r="R85" s="117"/>
      <c r="S85" s="117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>
        <f>111000000+41000000+32000000+9000000+19000000+17271328+15000000+191272505+6000000</f>
        <v>441543833</v>
      </c>
      <c r="AH85" s="113"/>
      <c r="AI85" s="25">
        <f t="shared" si="111"/>
        <v>1</v>
      </c>
      <c r="AJ85" s="75">
        <f t="shared" si="112"/>
        <v>441543833</v>
      </c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>
        <f>+'[2]JULIO 2015'!$AD$2527</f>
        <v>441543833</v>
      </c>
      <c r="BE85" s="25">
        <f t="shared" si="91"/>
        <v>0</v>
      </c>
      <c r="BF85" s="75">
        <f t="shared" si="113"/>
        <v>0</v>
      </c>
      <c r="BG85" s="75">
        <f t="shared" si="114"/>
        <v>0</v>
      </c>
      <c r="BH85" s="75">
        <f t="shared" si="115"/>
        <v>0</v>
      </c>
      <c r="BI85" s="75"/>
      <c r="BJ85" s="75">
        <f t="shared" si="116"/>
        <v>0</v>
      </c>
      <c r="BK85" s="75"/>
      <c r="BL85" s="75">
        <f t="shared" si="117"/>
        <v>0</v>
      </c>
      <c r="BM85" s="75">
        <f t="shared" si="118"/>
        <v>0</v>
      </c>
      <c r="BN85" s="75"/>
      <c r="BO85" s="75">
        <f t="shared" si="146"/>
        <v>0</v>
      </c>
      <c r="BP85" s="75">
        <f t="shared" si="138"/>
        <v>0</v>
      </c>
      <c r="BQ85" s="75"/>
      <c r="BR85" s="75">
        <f t="shared" si="141"/>
        <v>0</v>
      </c>
      <c r="BS85" s="75">
        <f t="shared" si="142"/>
        <v>0</v>
      </c>
      <c r="BT85" s="75">
        <f t="shared" si="143"/>
        <v>0</v>
      </c>
      <c r="BU85" s="75">
        <f t="shared" si="147"/>
        <v>0</v>
      </c>
      <c r="BV85" s="75">
        <f t="shared" si="144"/>
        <v>0</v>
      </c>
      <c r="BW85" s="75">
        <f t="shared" si="145"/>
        <v>0</v>
      </c>
      <c r="BX85" s="75"/>
      <c r="BY85" s="75"/>
      <c r="BZ85" s="75">
        <f t="shared" si="120"/>
        <v>0</v>
      </c>
      <c r="CA85" s="25">
        <f t="shared" si="121"/>
        <v>0.8927169955513794</v>
      </c>
      <c r="CB85" s="75">
        <f t="shared" si="122"/>
        <v>394173684</v>
      </c>
      <c r="CC85" s="75"/>
      <c r="CD85" s="75"/>
      <c r="CE85" s="75"/>
      <c r="CF85" s="75"/>
      <c r="CG85" s="75"/>
      <c r="CH85" s="75"/>
      <c r="CI85" s="75"/>
      <c r="CJ85" s="75"/>
      <c r="CK85" s="75"/>
      <c r="CL85" s="75"/>
      <c r="CM85" s="75"/>
      <c r="CN85" s="75"/>
      <c r="CO85" s="75"/>
      <c r="CP85" s="75"/>
      <c r="CQ85" s="75"/>
      <c r="CR85" s="75"/>
      <c r="CS85" s="75"/>
      <c r="CT85" s="75"/>
      <c r="CU85" s="75"/>
      <c r="CV85" s="75">
        <f>+'[1]AGOSTO 2015'!$H$2835</f>
        <v>394173684</v>
      </c>
      <c r="CW85" s="25">
        <f t="shared" si="123"/>
        <v>0.1072830044486206</v>
      </c>
      <c r="CX85" s="75">
        <f t="shared" si="124"/>
        <v>47370149</v>
      </c>
      <c r="CY85" s="75"/>
      <c r="CZ85" s="75"/>
      <c r="DA85" s="75"/>
      <c r="DB85" s="75">
        <f t="shared" si="125"/>
        <v>0</v>
      </c>
      <c r="DC85" s="75"/>
      <c r="DD85" s="75">
        <f t="shared" si="126"/>
        <v>0</v>
      </c>
      <c r="DE85" s="75">
        <f t="shared" si="127"/>
        <v>0</v>
      </c>
      <c r="DF85" s="75"/>
      <c r="DG85" s="75">
        <f t="shared" si="128"/>
        <v>0</v>
      </c>
      <c r="DH85" s="75">
        <f t="shared" si="129"/>
        <v>0</v>
      </c>
      <c r="DI85" s="75"/>
      <c r="DJ85" s="75">
        <f t="shared" si="130"/>
        <v>0</v>
      </c>
      <c r="DK85" s="75">
        <f t="shared" si="131"/>
        <v>0</v>
      </c>
      <c r="DL85" s="75">
        <f t="shared" si="132"/>
        <v>0</v>
      </c>
      <c r="DM85" s="75">
        <f t="shared" si="133"/>
        <v>0</v>
      </c>
      <c r="DN85" s="75">
        <f t="shared" si="134"/>
        <v>0</v>
      </c>
      <c r="DO85" s="75">
        <f t="shared" si="135"/>
        <v>0</v>
      </c>
      <c r="DP85" s="75">
        <f t="shared" si="136"/>
        <v>0</v>
      </c>
      <c r="DQ85" s="75"/>
      <c r="DR85" s="75">
        <f t="shared" si="137"/>
        <v>47370149</v>
      </c>
    </row>
    <row r="86" spans="1:122" ht="39.75" hidden="1" customHeight="1" x14ac:dyDescent="0.3">
      <c r="A86" s="242"/>
      <c r="B86" s="271"/>
      <c r="C86" s="272" t="s">
        <v>253</v>
      </c>
      <c r="D86" s="272" t="s">
        <v>252</v>
      </c>
      <c r="E86" s="273">
        <v>520</v>
      </c>
      <c r="F86" s="181" t="s">
        <v>251</v>
      </c>
      <c r="G86" s="228"/>
      <c r="H86" s="79">
        <f t="shared" si="108"/>
        <v>3547686</v>
      </c>
      <c r="I86" s="79">
        <f t="shared" si="109"/>
        <v>21008011</v>
      </c>
      <c r="J86" s="78"/>
      <c r="K86" s="78"/>
      <c r="L86" s="78"/>
      <c r="M86" s="75">
        <f t="shared" si="110"/>
        <v>24555697</v>
      </c>
      <c r="N86" s="45"/>
      <c r="O86" s="45"/>
      <c r="P86" s="45"/>
      <c r="Q86" s="45"/>
      <c r="R86" s="45"/>
      <c r="S86" s="4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>
        <f>3000000+5000000+15055697+1500000</f>
        <v>24555697</v>
      </c>
      <c r="AH86" s="113"/>
      <c r="AI86" s="25">
        <f t="shared" si="111"/>
        <v>0.38687559958082235</v>
      </c>
      <c r="AJ86" s="75">
        <f t="shared" si="112"/>
        <v>9500000</v>
      </c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>
        <f>+'[2]JULIO 2015'!$AD$2598</f>
        <v>9500000</v>
      </c>
      <c r="BE86" s="25">
        <f t="shared" si="91"/>
        <v>0.6131244004191776</v>
      </c>
      <c r="BF86" s="75">
        <f t="shared" si="113"/>
        <v>15055697</v>
      </c>
      <c r="BG86" s="75">
        <f t="shared" si="114"/>
        <v>0</v>
      </c>
      <c r="BH86" s="75">
        <f t="shared" si="115"/>
        <v>0</v>
      </c>
      <c r="BI86" s="75"/>
      <c r="BJ86" s="75">
        <f t="shared" si="116"/>
        <v>0</v>
      </c>
      <c r="BK86" s="75"/>
      <c r="BL86" s="75">
        <f t="shared" si="117"/>
        <v>0</v>
      </c>
      <c r="BM86" s="75">
        <f t="shared" si="118"/>
        <v>0</v>
      </c>
      <c r="BN86" s="75"/>
      <c r="BO86" s="75">
        <f t="shared" si="146"/>
        <v>0</v>
      </c>
      <c r="BP86" s="75">
        <f t="shared" si="138"/>
        <v>0</v>
      </c>
      <c r="BQ86" s="75"/>
      <c r="BR86" s="75">
        <f t="shared" si="141"/>
        <v>0</v>
      </c>
      <c r="BS86" s="75">
        <f t="shared" si="142"/>
        <v>0</v>
      </c>
      <c r="BT86" s="75">
        <f t="shared" si="143"/>
        <v>0</v>
      </c>
      <c r="BU86" s="75">
        <f t="shared" si="147"/>
        <v>0</v>
      </c>
      <c r="BV86" s="75">
        <f t="shared" si="144"/>
        <v>0</v>
      </c>
      <c r="BW86" s="75">
        <f t="shared" si="145"/>
        <v>0</v>
      </c>
      <c r="BX86" s="75"/>
      <c r="BY86" s="75"/>
      <c r="BZ86" s="75">
        <f t="shared" si="120"/>
        <v>15055697</v>
      </c>
      <c r="CA86" s="25">
        <f t="shared" si="121"/>
        <v>0.14447506824994624</v>
      </c>
      <c r="CB86" s="75">
        <f t="shared" si="122"/>
        <v>3547686</v>
      </c>
      <c r="CC86" s="75"/>
      <c r="CD86" s="75"/>
      <c r="CE86" s="75"/>
      <c r="CF86" s="75"/>
      <c r="CG86" s="75"/>
      <c r="CH86" s="75"/>
      <c r="CI86" s="75"/>
      <c r="CJ86" s="75"/>
      <c r="CK86" s="75"/>
      <c r="CL86" s="75"/>
      <c r="CM86" s="75"/>
      <c r="CN86" s="75"/>
      <c r="CO86" s="75"/>
      <c r="CP86" s="75"/>
      <c r="CQ86" s="75"/>
      <c r="CR86" s="75"/>
      <c r="CS86" s="75"/>
      <c r="CT86" s="75"/>
      <c r="CU86" s="75"/>
      <c r="CV86" s="75">
        <f>+'[1]AGOSTO 2015'!$H$2909</f>
        <v>3547686</v>
      </c>
      <c r="CW86" s="25">
        <f t="shared" si="123"/>
        <v>0.85552493175005373</v>
      </c>
      <c r="CX86" s="75">
        <f t="shared" si="124"/>
        <v>21008011</v>
      </c>
      <c r="CY86" s="75"/>
      <c r="CZ86" s="75"/>
      <c r="DA86" s="75"/>
      <c r="DB86" s="75">
        <f t="shared" si="125"/>
        <v>0</v>
      </c>
      <c r="DC86" s="75"/>
      <c r="DD86" s="75">
        <f t="shared" si="126"/>
        <v>0</v>
      </c>
      <c r="DE86" s="75">
        <f t="shared" si="127"/>
        <v>0</v>
      </c>
      <c r="DF86" s="75"/>
      <c r="DG86" s="75">
        <f t="shared" si="128"/>
        <v>0</v>
      </c>
      <c r="DH86" s="75">
        <f t="shared" si="129"/>
        <v>0</v>
      </c>
      <c r="DI86" s="75"/>
      <c r="DJ86" s="75">
        <f t="shared" si="130"/>
        <v>0</v>
      </c>
      <c r="DK86" s="75">
        <f t="shared" si="131"/>
        <v>0</v>
      </c>
      <c r="DL86" s="75">
        <f t="shared" si="132"/>
        <v>0</v>
      </c>
      <c r="DM86" s="75">
        <f t="shared" si="133"/>
        <v>0</v>
      </c>
      <c r="DN86" s="75">
        <f t="shared" si="134"/>
        <v>0</v>
      </c>
      <c r="DO86" s="75">
        <f t="shared" si="135"/>
        <v>0</v>
      </c>
      <c r="DP86" s="75">
        <f t="shared" si="136"/>
        <v>0</v>
      </c>
      <c r="DQ86" s="75"/>
      <c r="DR86" s="75">
        <f t="shared" si="137"/>
        <v>21008011</v>
      </c>
    </row>
    <row r="87" spans="1:122" ht="36" hidden="1" customHeight="1" x14ac:dyDescent="0.3">
      <c r="A87" s="242"/>
      <c r="B87" s="271"/>
      <c r="C87" s="272" t="s">
        <v>250</v>
      </c>
      <c r="D87" s="272" t="s">
        <v>249</v>
      </c>
      <c r="E87" s="273">
        <v>520</v>
      </c>
      <c r="F87" s="181" t="s">
        <v>214</v>
      </c>
      <c r="G87" s="228"/>
      <c r="H87" s="79">
        <f t="shared" si="108"/>
        <v>104600638</v>
      </c>
      <c r="I87" s="79">
        <f t="shared" si="109"/>
        <v>506263797</v>
      </c>
      <c r="J87" s="78"/>
      <c r="K87" s="78"/>
      <c r="L87" s="78"/>
      <c r="M87" s="75">
        <f t="shared" si="110"/>
        <v>610864435</v>
      </c>
      <c r="N87" s="45"/>
      <c r="O87" s="45"/>
      <c r="P87" s="45"/>
      <c r="Q87" s="45"/>
      <c r="R87" s="45"/>
      <c r="S87" s="45"/>
      <c r="T87" s="75"/>
      <c r="U87" s="75"/>
      <c r="V87" s="75"/>
      <c r="W87" s="75"/>
      <c r="X87" s="75"/>
      <c r="Y87" s="75"/>
      <c r="Z87" s="75">
        <f>450000000+160864435</f>
        <v>610864435</v>
      </c>
      <c r="AA87" s="75"/>
      <c r="AB87" s="75"/>
      <c r="AC87" s="75"/>
      <c r="AD87" s="75"/>
      <c r="AE87" s="75"/>
      <c r="AF87" s="75"/>
      <c r="AG87" s="75"/>
      <c r="AH87" s="113"/>
      <c r="AI87" s="25">
        <f t="shared" si="111"/>
        <v>0.36199230685282896</v>
      </c>
      <c r="AJ87" s="75">
        <f t="shared" si="112"/>
        <v>221128226</v>
      </c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>
        <f>+'[1]AGOSTO 2015'!$V$2923</f>
        <v>221128226</v>
      </c>
      <c r="AX87" s="75"/>
      <c r="AY87" s="75"/>
      <c r="AZ87" s="75"/>
      <c r="BA87" s="75"/>
      <c r="BB87" s="75"/>
      <c r="BC87" s="75"/>
      <c r="BD87" s="75"/>
      <c r="BE87" s="25">
        <f t="shared" si="91"/>
        <v>0.63800769314717098</v>
      </c>
      <c r="BF87" s="75">
        <f t="shared" si="113"/>
        <v>389736209</v>
      </c>
      <c r="BG87" s="75">
        <f t="shared" si="114"/>
        <v>0</v>
      </c>
      <c r="BH87" s="75">
        <f t="shared" si="115"/>
        <v>0</v>
      </c>
      <c r="BI87" s="75"/>
      <c r="BJ87" s="75">
        <f t="shared" si="116"/>
        <v>0</v>
      </c>
      <c r="BK87" s="75"/>
      <c r="BL87" s="75">
        <f t="shared" si="117"/>
        <v>0</v>
      </c>
      <c r="BM87" s="75">
        <f t="shared" si="118"/>
        <v>0</v>
      </c>
      <c r="BN87" s="75"/>
      <c r="BO87" s="75">
        <f t="shared" si="146"/>
        <v>0</v>
      </c>
      <c r="BP87" s="75">
        <f t="shared" si="138"/>
        <v>0</v>
      </c>
      <c r="BQ87" s="75"/>
      <c r="BR87" s="75">
        <f t="shared" si="141"/>
        <v>0</v>
      </c>
      <c r="BS87" s="75">
        <f t="shared" si="142"/>
        <v>389736209</v>
      </c>
      <c r="BT87" s="75">
        <f t="shared" si="143"/>
        <v>0</v>
      </c>
      <c r="BU87" s="75">
        <f t="shared" si="147"/>
        <v>0</v>
      </c>
      <c r="BV87" s="75">
        <f t="shared" si="144"/>
        <v>0</v>
      </c>
      <c r="BW87" s="75">
        <f t="shared" si="145"/>
        <v>0</v>
      </c>
      <c r="BX87" s="75"/>
      <c r="BY87" s="75"/>
      <c r="BZ87" s="75">
        <f t="shared" si="120"/>
        <v>0</v>
      </c>
      <c r="CA87" s="25">
        <f t="shared" si="121"/>
        <v>0.17123379919801682</v>
      </c>
      <c r="CB87" s="75">
        <f t="shared" si="122"/>
        <v>104600638</v>
      </c>
      <c r="CC87" s="75"/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5">
        <f>+'[1]AGOSTO 2015'!$H$2921</f>
        <v>104600638</v>
      </c>
      <c r="CP87" s="75"/>
      <c r="CQ87" s="75"/>
      <c r="CR87" s="75"/>
      <c r="CS87" s="75"/>
      <c r="CT87" s="75"/>
      <c r="CU87" s="75"/>
      <c r="CV87" s="75"/>
      <c r="CW87" s="25">
        <f t="shared" si="123"/>
        <v>0.82876620080198315</v>
      </c>
      <c r="CX87" s="75">
        <f t="shared" si="124"/>
        <v>506263797</v>
      </c>
      <c r="CY87" s="75"/>
      <c r="CZ87" s="75"/>
      <c r="DA87" s="75"/>
      <c r="DB87" s="75">
        <f t="shared" si="125"/>
        <v>0</v>
      </c>
      <c r="DC87" s="75"/>
      <c r="DD87" s="75">
        <f t="shared" si="126"/>
        <v>0</v>
      </c>
      <c r="DE87" s="75">
        <f t="shared" si="127"/>
        <v>0</v>
      </c>
      <c r="DF87" s="75"/>
      <c r="DG87" s="75">
        <f t="shared" si="128"/>
        <v>0</v>
      </c>
      <c r="DH87" s="75">
        <f t="shared" si="129"/>
        <v>0</v>
      </c>
      <c r="DI87" s="75"/>
      <c r="DJ87" s="75">
        <f t="shared" si="130"/>
        <v>0</v>
      </c>
      <c r="DK87" s="75">
        <f t="shared" si="131"/>
        <v>506263797</v>
      </c>
      <c r="DL87" s="75">
        <f t="shared" si="132"/>
        <v>0</v>
      </c>
      <c r="DM87" s="75">
        <f t="shared" si="133"/>
        <v>0</v>
      </c>
      <c r="DN87" s="75">
        <f t="shared" si="134"/>
        <v>0</v>
      </c>
      <c r="DO87" s="75">
        <f t="shared" si="135"/>
        <v>0</v>
      </c>
      <c r="DP87" s="75">
        <f t="shared" si="136"/>
        <v>0</v>
      </c>
      <c r="DQ87" s="75"/>
      <c r="DR87" s="75">
        <f t="shared" si="137"/>
        <v>0</v>
      </c>
    </row>
    <row r="88" spans="1:122" ht="33" hidden="1" customHeight="1" x14ac:dyDescent="0.3">
      <c r="A88" s="242"/>
      <c r="B88" s="271"/>
      <c r="C88" s="272" t="s">
        <v>248</v>
      </c>
      <c r="D88" s="272" t="s">
        <v>247</v>
      </c>
      <c r="E88" s="273">
        <v>520</v>
      </c>
      <c r="F88" s="181" t="s">
        <v>214</v>
      </c>
      <c r="G88" s="229"/>
      <c r="H88" s="79">
        <f t="shared" si="108"/>
        <v>0</v>
      </c>
      <c r="I88" s="79">
        <f t="shared" si="109"/>
        <v>23014856</v>
      </c>
      <c r="J88" s="78"/>
      <c r="K88" s="78"/>
      <c r="L88" s="78"/>
      <c r="M88" s="75">
        <f t="shared" si="110"/>
        <v>23014856</v>
      </c>
      <c r="N88" s="45"/>
      <c r="O88" s="115">
        <f>23014856-23014856</f>
        <v>0</v>
      </c>
      <c r="P88" s="115"/>
      <c r="Q88" s="45"/>
      <c r="R88" s="45"/>
      <c r="S88" s="45"/>
      <c r="T88" s="75">
        <v>23014856</v>
      </c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113"/>
      <c r="AI88" s="25">
        <f t="shared" si="111"/>
        <v>1</v>
      </c>
      <c r="AJ88" s="75">
        <f t="shared" si="112"/>
        <v>23014856</v>
      </c>
      <c r="AK88" s="75"/>
      <c r="AL88" s="75"/>
      <c r="AM88" s="75"/>
      <c r="AN88" s="75"/>
      <c r="AO88" s="75"/>
      <c r="AP88" s="75"/>
      <c r="AQ88" s="75">
        <f>+'[5]FEBRERO 2015'!$O$1235</f>
        <v>23014856</v>
      </c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25">
        <f t="shared" ref="BE88:BE103" si="148">1-AI88</f>
        <v>0</v>
      </c>
      <c r="BF88" s="75">
        <f t="shared" si="113"/>
        <v>0</v>
      </c>
      <c r="BG88" s="75">
        <f t="shared" si="114"/>
        <v>0</v>
      </c>
      <c r="BH88" s="75">
        <f t="shared" si="115"/>
        <v>0</v>
      </c>
      <c r="BI88" s="75"/>
      <c r="BJ88" s="75">
        <f t="shared" si="116"/>
        <v>0</v>
      </c>
      <c r="BK88" s="75"/>
      <c r="BL88" s="75">
        <f t="shared" si="117"/>
        <v>0</v>
      </c>
      <c r="BM88" s="75">
        <f t="shared" si="118"/>
        <v>0</v>
      </c>
      <c r="BN88" s="75"/>
      <c r="BO88" s="75">
        <f t="shared" si="146"/>
        <v>0</v>
      </c>
      <c r="BP88" s="75">
        <f t="shared" si="138"/>
        <v>0</v>
      </c>
      <c r="BQ88" s="75"/>
      <c r="BR88" s="75">
        <f t="shared" si="141"/>
        <v>0</v>
      </c>
      <c r="BS88" s="75">
        <f t="shared" si="142"/>
        <v>0</v>
      </c>
      <c r="BT88" s="75">
        <f t="shared" si="143"/>
        <v>0</v>
      </c>
      <c r="BU88" s="75">
        <f t="shared" si="147"/>
        <v>0</v>
      </c>
      <c r="BV88" s="75">
        <f t="shared" si="144"/>
        <v>0</v>
      </c>
      <c r="BW88" s="75">
        <f t="shared" si="145"/>
        <v>0</v>
      </c>
      <c r="BX88" s="75"/>
      <c r="BY88" s="75"/>
      <c r="BZ88" s="75">
        <f t="shared" si="120"/>
        <v>0</v>
      </c>
      <c r="CA88" s="25">
        <f t="shared" si="121"/>
        <v>0</v>
      </c>
      <c r="CB88" s="75">
        <f t="shared" si="122"/>
        <v>0</v>
      </c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25">
        <f t="shared" si="123"/>
        <v>1</v>
      </c>
      <c r="CX88" s="75">
        <f t="shared" si="124"/>
        <v>23014856</v>
      </c>
      <c r="CY88" s="75"/>
      <c r="CZ88" s="75">
        <f>O88-CD88</f>
        <v>0</v>
      </c>
      <c r="DA88" s="75">
        <f>P88-CE88</f>
        <v>0</v>
      </c>
      <c r="DB88" s="75">
        <f t="shared" si="125"/>
        <v>0</v>
      </c>
      <c r="DC88" s="75"/>
      <c r="DD88" s="75">
        <f t="shared" si="126"/>
        <v>0</v>
      </c>
      <c r="DE88" s="75">
        <f t="shared" si="127"/>
        <v>23014856</v>
      </c>
      <c r="DF88" s="75"/>
      <c r="DG88" s="75">
        <f t="shared" si="128"/>
        <v>0</v>
      </c>
      <c r="DH88" s="75">
        <f t="shared" si="129"/>
        <v>0</v>
      </c>
      <c r="DI88" s="75"/>
      <c r="DJ88" s="75">
        <f t="shared" si="130"/>
        <v>0</v>
      </c>
      <c r="DK88" s="75">
        <f t="shared" si="131"/>
        <v>0</v>
      </c>
      <c r="DL88" s="75">
        <f t="shared" si="132"/>
        <v>0</v>
      </c>
      <c r="DM88" s="75">
        <f t="shared" si="133"/>
        <v>0</v>
      </c>
      <c r="DN88" s="75">
        <f t="shared" si="134"/>
        <v>0</v>
      </c>
      <c r="DO88" s="75">
        <f t="shared" si="135"/>
        <v>0</v>
      </c>
      <c r="DP88" s="75">
        <f t="shared" si="136"/>
        <v>0</v>
      </c>
      <c r="DQ88" s="75"/>
      <c r="DR88" s="75">
        <f t="shared" si="137"/>
        <v>0</v>
      </c>
    </row>
    <row r="89" spans="1:122" ht="36.75" hidden="1" customHeight="1" x14ac:dyDescent="0.3">
      <c r="A89" s="242"/>
      <c r="B89" s="271" t="s">
        <v>246</v>
      </c>
      <c r="C89" s="272" t="s">
        <v>245</v>
      </c>
      <c r="D89" s="272" t="s">
        <v>244</v>
      </c>
      <c r="E89" s="273">
        <v>520</v>
      </c>
      <c r="F89" s="181" t="s">
        <v>243</v>
      </c>
      <c r="G89" s="227">
        <v>150000000</v>
      </c>
      <c r="H89" s="79">
        <f t="shared" si="108"/>
        <v>0</v>
      </c>
      <c r="I89" s="79">
        <f t="shared" si="109"/>
        <v>40000000</v>
      </c>
      <c r="J89" s="78"/>
      <c r="K89" s="78"/>
      <c r="L89" s="78"/>
      <c r="M89" s="75">
        <f t="shared" si="110"/>
        <v>40000000</v>
      </c>
      <c r="N89" s="45"/>
      <c r="O89" s="45"/>
      <c r="P89" s="45"/>
      <c r="Q89" s="75">
        <f>10000000-10000000</f>
        <v>0</v>
      </c>
      <c r="R89" s="75"/>
      <c r="S89" s="75">
        <v>30000000</v>
      </c>
      <c r="T89" s="75"/>
      <c r="U89" s="75"/>
      <c r="V89" s="75"/>
      <c r="W89" s="75"/>
      <c r="X89" s="75"/>
      <c r="Y89" s="75"/>
      <c r="Z89" s="75"/>
      <c r="AA89" s="75"/>
      <c r="AB89" s="75">
        <v>10000000</v>
      </c>
      <c r="AC89" s="75"/>
      <c r="AD89" s="75"/>
      <c r="AE89" s="75"/>
      <c r="AF89" s="75"/>
      <c r="AG89" s="75"/>
      <c r="AH89" s="113"/>
      <c r="AI89" s="25">
        <f t="shared" si="111"/>
        <v>1</v>
      </c>
      <c r="AJ89" s="75">
        <f t="shared" si="112"/>
        <v>40000000</v>
      </c>
      <c r="AK89" s="75"/>
      <c r="AL89" s="75"/>
      <c r="AM89" s="75"/>
      <c r="AN89" s="75"/>
      <c r="AO89" s="75"/>
      <c r="AP89" s="75">
        <f>+'[8]FEBRERO 2015'!$N$1172</f>
        <v>30000000</v>
      </c>
      <c r="AQ89" s="75"/>
      <c r="AR89" s="75"/>
      <c r="AS89" s="75"/>
      <c r="AT89" s="75"/>
      <c r="AU89" s="75"/>
      <c r="AV89" s="75"/>
      <c r="AW89" s="75"/>
      <c r="AX89" s="75"/>
      <c r="AY89" s="75">
        <f>+'[5]FEBRERO 2015'!$W$1245</f>
        <v>10000000</v>
      </c>
      <c r="AZ89" s="75"/>
      <c r="BA89" s="75"/>
      <c r="BB89" s="75"/>
      <c r="BC89" s="75"/>
      <c r="BD89" s="75"/>
      <c r="BE89" s="25">
        <f t="shared" si="148"/>
        <v>0</v>
      </c>
      <c r="BF89" s="75">
        <f t="shared" si="113"/>
        <v>0</v>
      </c>
      <c r="BG89" s="75">
        <f t="shared" si="114"/>
        <v>0</v>
      </c>
      <c r="BH89" s="75">
        <f t="shared" si="115"/>
        <v>0</v>
      </c>
      <c r="BI89" s="75"/>
      <c r="BJ89" s="75">
        <f t="shared" si="116"/>
        <v>0</v>
      </c>
      <c r="BK89" s="75"/>
      <c r="BL89" s="75">
        <f t="shared" si="117"/>
        <v>0</v>
      </c>
      <c r="BM89" s="75">
        <f t="shared" si="118"/>
        <v>0</v>
      </c>
      <c r="BN89" s="75"/>
      <c r="BO89" s="75">
        <f t="shared" si="146"/>
        <v>0</v>
      </c>
      <c r="BP89" s="75">
        <f t="shared" si="138"/>
        <v>0</v>
      </c>
      <c r="BQ89" s="75"/>
      <c r="BR89" s="75">
        <f t="shared" si="141"/>
        <v>0</v>
      </c>
      <c r="BS89" s="75">
        <f t="shared" si="142"/>
        <v>0</v>
      </c>
      <c r="BT89" s="75">
        <f t="shared" si="143"/>
        <v>0</v>
      </c>
      <c r="BU89" s="75">
        <f t="shared" si="147"/>
        <v>0</v>
      </c>
      <c r="BV89" s="75">
        <f t="shared" si="144"/>
        <v>0</v>
      </c>
      <c r="BW89" s="75">
        <f t="shared" si="145"/>
        <v>0</v>
      </c>
      <c r="BX89" s="75"/>
      <c r="BY89" s="75"/>
      <c r="BZ89" s="75">
        <f t="shared" si="120"/>
        <v>0</v>
      </c>
      <c r="CA89" s="25">
        <f t="shared" si="121"/>
        <v>0</v>
      </c>
      <c r="CB89" s="75">
        <f t="shared" si="122"/>
        <v>0</v>
      </c>
      <c r="CC89" s="75"/>
      <c r="CD89" s="75"/>
      <c r="CE89" s="75"/>
      <c r="CF89" s="75"/>
      <c r="CG89" s="75"/>
      <c r="CH89" s="75"/>
      <c r="CI89" s="75"/>
      <c r="CJ89" s="75"/>
      <c r="CK89" s="75"/>
      <c r="CL89" s="75"/>
      <c r="CM89" s="75"/>
      <c r="CN89" s="75"/>
      <c r="CO89" s="75"/>
      <c r="CP89" s="75"/>
      <c r="CQ89" s="75"/>
      <c r="CR89" s="75"/>
      <c r="CS89" s="75"/>
      <c r="CT89" s="75"/>
      <c r="CU89" s="75"/>
      <c r="CV89" s="75"/>
      <c r="CW89" s="25">
        <f t="shared" si="123"/>
        <v>1</v>
      </c>
      <c r="CX89" s="75">
        <f t="shared" si="124"/>
        <v>40000000</v>
      </c>
      <c r="CY89" s="75"/>
      <c r="CZ89" s="75"/>
      <c r="DA89" s="75"/>
      <c r="DB89" s="75">
        <f t="shared" si="125"/>
        <v>0</v>
      </c>
      <c r="DC89" s="75"/>
      <c r="DD89" s="75">
        <f t="shared" si="126"/>
        <v>30000000</v>
      </c>
      <c r="DE89" s="75">
        <f t="shared" si="127"/>
        <v>0</v>
      </c>
      <c r="DF89" s="75"/>
      <c r="DG89" s="75">
        <f t="shared" si="128"/>
        <v>0</v>
      </c>
      <c r="DH89" s="75">
        <f t="shared" si="129"/>
        <v>0</v>
      </c>
      <c r="DI89" s="75"/>
      <c r="DJ89" s="75">
        <f t="shared" si="130"/>
        <v>0</v>
      </c>
      <c r="DK89" s="75">
        <f t="shared" si="131"/>
        <v>0</v>
      </c>
      <c r="DL89" s="75">
        <f t="shared" si="132"/>
        <v>0</v>
      </c>
      <c r="DM89" s="75">
        <f t="shared" si="133"/>
        <v>10000000</v>
      </c>
      <c r="DN89" s="75">
        <f t="shared" si="134"/>
        <v>0</v>
      </c>
      <c r="DO89" s="75">
        <f t="shared" si="135"/>
        <v>0</v>
      </c>
      <c r="DP89" s="75">
        <f t="shared" si="136"/>
        <v>0</v>
      </c>
      <c r="DQ89" s="75"/>
      <c r="DR89" s="75">
        <f t="shared" si="137"/>
        <v>0</v>
      </c>
    </row>
    <row r="90" spans="1:122" ht="24" hidden="1" customHeight="1" x14ac:dyDescent="0.3">
      <c r="A90" s="242"/>
      <c r="B90" s="271"/>
      <c r="C90" s="272" t="s">
        <v>242</v>
      </c>
      <c r="D90" s="272" t="s">
        <v>241</v>
      </c>
      <c r="E90" s="273">
        <v>520</v>
      </c>
      <c r="F90" s="181" t="s">
        <v>214</v>
      </c>
      <c r="G90" s="228"/>
      <c r="H90" s="79">
        <f t="shared" si="108"/>
        <v>48739200</v>
      </c>
      <c r="I90" s="79">
        <f t="shared" si="109"/>
        <v>1260800</v>
      </c>
      <c r="J90" s="78"/>
      <c r="K90" s="78"/>
      <c r="L90" s="78"/>
      <c r="M90" s="75">
        <f t="shared" si="110"/>
        <v>50000000</v>
      </c>
      <c r="N90" s="45"/>
      <c r="O90" s="45"/>
      <c r="P90" s="45"/>
      <c r="Q90" s="75">
        <v>40000000</v>
      </c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>
        <v>10000000</v>
      </c>
      <c r="AC90" s="75"/>
      <c r="AD90" s="75"/>
      <c r="AE90" s="75"/>
      <c r="AF90" s="75"/>
      <c r="AG90" s="75"/>
      <c r="AH90" s="113"/>
      <c r="AI90" s="25">
        <f t="shared" si="111"/>
        <v>1</v>
      </c>
      <c r="AJ90" s="75">
        <f t="shared" si="112"/>
        <v>50000000</v>
      </c>
      <c r="AK90" s="75"/>
      <c r="AL90" s="75"/>
      <c r="AM90" s="75"/>
      <c r="AN90" s="75">
        <f>+'[3]ABRIL 2015'!$L$1730</f>
        <v>40000000</v>
      </c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>
        <f>+'[6]JUNIO 2015'!$X$2249</f>
        <v>10000000</v>
      </c>
      <c r="AZ90" s="75"/>
      <c r="BA90" s="75"/>
      <c r="BB90" s="75"/>
      <c r="BC90" s="75"/>
      <c r="BD90" s="75"/>
      <c r="BE90" s="25">
        <f t="shared" si="148"/>
        <v>0</v>
      </c>
      <c r="BF90" s="75">
        <f t="shared" si="113"/>
        <v>0</v>
      </c>
      <c r="BG90" s="75">
        <f t="shared" si="114"/>
        <v>0</v>
      </c>
      <c r="BH90" s="75">
        <f t="shared" si="115"/>
        <v>0</v>
      </c>
      <c r="BI90" s="75"/>
      <c r="BJ90" s="75">
        <f t="shared" si="116"/>
        <v>0</v>
      </c>
      <c r="BK90" s="75"/>
      <c r="BL90" s="75">
        <f t="shared" si="117"/>
        <v>0</v>
      </c>
      <c r="BM90" s="75">
        <f t="shared" si="118"/>
        <v>0</v>
      </c>
      <c r="BN90" s="75"/>
      <c r="BO90" s="75">
        <f t="shared" si="146"/>
        <v>0</v>
      </c>
      <c r="BP90" s="75">
        <f t="shared" si="138"/>
        <v>0</v>
      </c>
      <c r="BQ90" s="75"/>
      <c r="BR90" s="75">
        <f t="shared" si="141"/>
        <v>0</v>
      </c>
      <c r="BS90" s="75">
        <f t="shared" si="142"/>
        <v>0</v>
      </c>
      <c r="BT90" s="75">
        <f t="shared" si="143"/>
        <v>0</v>
      </c>
      <c r="BU90" s="75">
        <f t="shared" si="147"/>
        <v>0</v>
      </c>
      <c r="BV90" s="75">
        <f t="shared" si="144"/>
        <v>0</v>
      </c>
      <c r="BW90" s="75">
        <f t="shared" si="145"/>
        <v>0</v>
      </c>
      <c r="BX90" s="75"/>
      <c r="BY90" s="75"/>
      <c r="BZ90" s="75">
        <f t="shared" si="120"/>
        <v>0</v>
      </c>
      <c r="CA90" s="25">
        <f t="shared" si="121"/>
        <v>0.97478399999999998</v>
      </c>
      <c r="CB90" s="75">
        <f t="shared" si="122"/>
        <v>48739200</v>
      </c>
      <c r="CC90" s="75"/>
      <c r="CD90" s="75"/>
      <c r="CE90" s="75"/>
      <c r="CF90" s="75">
        <f>+'[6]JUNIO 2015'!$H$2252</f>
        <v>40000000</v>
      </c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>
        <f>+'[2]JULIO 2015'!$H$2631</f>
        <v>8739200</v>
      </c>
      <c r="CR90" s="75"/>
      <c r="CS90" s="75"/>
      <c r="CT90" s="75"/>
      <c r="CU90" s="75"/>
      <c r="CV90" s="75"/>
      <c r="CW90" s="25">
        <f t="shared" si="123"/>
        <v>2.5216000000000016E-2</v>
      </c>
      <c r="CX90" s="75">
        <f t="shared" si="124"/>
        <v>1260800</v>
      </c>
      <c r="CY90" s="75"/>
      <c r="CZ90" s="75"/>
      <c r="DA90" s="75"/>
      <c r="DB90" s="75">
        <f t="shared" si="125"/>
        <v>0</v>
      </c>
      <c r="DC90" s="75"/>
      <c r="DD90" s="75">
        <f t="shared" si="126"/>
        <v>0</v>
      </c>
      <c r="DE90" s="75">
        <f t="shared" si="127"/>
        <v>0</v>
      </c>
      <c r="DF90" s="75"/>
      <c r="DG90" s="75">
        <f t="shared" si="128"/>
        <v>0</v>
      </c>
      <c r="DH90" s="75">
        <f t="shared" si="129"/>
        <v>0</v>
      </c>
      <c r="DI90" s="75"/>
      <c r="DJ90" s="75">
        <f t="shared" si="130"/>
        <v>0</v>
      </c>
      <c r="DK90" s="75">
        <f t="shared" si="131"/>
        <v>0</v>
      </c>
      <c r="DL90" s="75">
        <f t="shared" si="132"/>
        <v>0</v>
      </c>
      <c r="DM90" s="75">
        <f t="shared" si="133"/>
        <v>1260800</v>
      </c>
      <c r="DN90" s="75">
        <f t="shared" si="134"/>
        <v>0</v>
      </c>
      <c r="DO90" s="75">
        <f t="shared" si="135"/>
        <v>0</v>
      </c>
      <c r="DP90" s="75">
        <f t="shared" si="136"/>
        <v>0</v>
      </c>
      <c r="DQ90" s="75"/>
      <c r="DR90" s="75">
        <f t="shared" si="137"/>
        <v>0</v>
      </c>
    </row>
    <row r="91" spans="1:122" ht="31.5" hidden="1" customHeight="1" x14ac:dyDescent="0.3">
      <c r="A91" s="242"/>
      <c r="B91" s="271"/>
      <c r="C91" s="272" t="s">
        <v>240</v>
      </c>
      <c r="D91" s="272" t="s">
        <v>239</v>
      </c>
      <c r="E91" s="273">
        <v>520</v>
      </c>
      <c r="F91" s="181" t="s">
        <v>214</v>
      </c>
      <c r="G91" s="228"/>
      <c r="H91" s="79">
        <f t="shared" si="108"/>
        <v>20000000</v>
      </c>
      <c r="I91" s="79">
        <f t="shared" si="109"/>
        <v>0</v>
      </c>
      <c r="J91" s="78"/>
      <c r="K91" s="78"/>
      <c r="L91" s="78"/>
      <c r="M91" s="75">
        <f t="shared" si="110"/>
        <v>20000000</v>
      </c>
      <c r="N91" s="45"/>
      <c r="O91" s="45"/>
      <c r="P91" s="45"/>
      <c r="Q91" s="75"/>
      <c r="R91" s="75"/>
      <c r="S91" s="75"/>
      <c r="T91" s="75">
        <f>30000000-10000000</f>
        <v>20000000</v>
      </c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113"/>
      <c r="AI91" s="25">
        <f t="shared" si="111"/>
        <v>1</v>
      </c>
      <c r="AJ91" s="75">
        <f t="shared" si="112"/>
        <v>20000000</v>
      </c>
      <c r="AK91" s="75"/>
      <c r="AL91" s="75"/>
      <c r="AM91" s="75"/>
      <c r="AN91" s="75"/>
      <c r="AO91" s="75"/>
      <c r="AP91" s="75"/>
      <c r="AQ91" s="75">
        <f>+'[4]MARZO 2015'!$O$1462</f>
        <v>20000000</v>
      </c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25">
        <f t="shared" si="148"/>
        <v>0</v>
      </c>
      <c r="BF91" s="75">
        <f t="shared" si="113"/>
        <v>0</v>
      </c>
      <c r="BG91" s="75">
        <f t="shared" si="114"/>
        <v>0</v>
      </c>
      <c r="BH91" s="75">
        <f t="shared" si="115"/>
        <v>0</v>
      </c>
      <c r="BI91" s="75"/>
      <c r="BJ91" s="75">
        <f t="shared" si="116"/>
        <v>0</v>
      </c>
      <c r="BK91" s="75"/>
      <c r="BL91" s="75">
        <f t="shared" si="117"/>
        <v>0</v>
      </c>
      <c r="BM91" s="75">
        <f t="shared" si="118"/>
        <v>0</v>
      </c>
      <c r="BN91" s="75"/>
      <c r="BO91" s="75">
        <f t="shared" si="146"/>
        <v>0</v>
      </c>
      <c r="BP91" s="75">
        <f t="shared" si="138"/>
        <v>0</v>
      </c>
      <c r="BQ91" s="75"/>
      <c r="BR91" s="75">
        <f t="shared" si="141"/>
        <v>0</v>
      </c>
      <c r="BS91" s="75">
        <f t="shared" si="142"/>
        <v>0</v>
      </c>
      <c r="BT91" s="75">
        <f t="shared" si="143"/>
        <v>0</v>
      </c>
      <c r="BU91" s="75">
        <f t="shared" si="147"/>
        <v>0</v>
      </c>
      <c r="BV91" s="75">
        <f t="shared" si="144"/>
        <v>0</v>
      </c>
      <c r="BW91" s="75">
        <f t="shared" si="145"/>
        <v>0</v>
      </c>
      <c r="BX91" s="75"/>
      <c r="BY91" s="75"/>
      <c r="BZ91" s="75">
        <f t="shared" si="120"/>
        <v>0</v>
      </c>
      <c r="CA91" s="25">
        <f t="shared" si="121"/>
        <v>1</v>
      </c>
      <c r="CB91" s="75">
        <f t="shared" si="122"/>
        <v>20000000</v>
      </c>
      <c r="CC91" s="75"/>
      <c r="CD91" s="75"/>
      <c r="CE91" s="75"/>
      <c r="CF91" s="75"/>
      <c r="CG91" s="75"/>
      <c r="CH91" s="75"/>
      <c r="CI91" s="75">
        <f>+'[4]MARZO 2015'!$O$1463</f>
        <v>20000000</v>
      </c>
      <c r="CJ91" s="75"/>
      <c r="CK91" s="75"/>
      <c r="CL91" s="75"/>
      <c r="CM91" s="75"/>
      <c r="CN91" s="75"/>
      <c r="CO91" s="75"/>
      <c r="CP91" s="75"/>
      <c r="CQ91" s="75"/>
      <c r="CR91" s="75"/>
      <c r="CS91" s="75"/>
      <c r="CT91" s="75"/>
      <c r="CU91" s="75"/>
      <c r="CV91" s="75"/>
      <c r="CW91" s="25">
        <f t="shared" si="123"/>
        <v>0</v>
      </c>
      <c r="CX91" s="75">
        <f t="shared" si="124"/>
        <v>0</v>
      </c>
      <c r="CY91" s="75"/>
      <c r="CZ91" s="75"/>
      <c r="DA91" s="75"/>
      <c r="DB91" s="75">
        <f t="shared" si="125"/>
        <v>0</v>
      </c>
      <c r="DC91" s="75"/>
      <c r="DD91" s="75">
        <f t="shared" si="126"/>
        <v>0</v>
      </c>
      <c r="DE91" s="75">
        <f t="shared" si="127"/>
        <v>0</v>
      </c>
      <c r="DF91" s="75"/>
      <c r="DG91" s="75">
        <f t="shared" si="128"/>
        <v>0</v>
      </c>
      <c r="DH91" s="75">
        <f t="shared" si="129"/>
        <v>0</v>
      </c>
      <c r="DI91" s="75"/>
      <c r="DJ91" s="75">
        <f t="shared" si="130"/>
        <v>0</v>
      </c>
      <c r="DK91" s="75">
        <f t="shared" si="131"/>
        <v>0</v>
      </c>
      <c r="DL91" s="75">
        <f t="shared" si="132"/>
        <v>0</v>
      </c>
      <c r="DM91" s="75">
        <f t="shared" si="133"/>
        <v>0</v>
      </c>
      <c r="DN91" s="75">
        <f t="shared" si="134"/>
        <v>0</v>
      </c>
      <c r="DO91" s="75">
        <f t="shared" si="135"/>
        <v>0</v>
      </c>
      <c r="DP91" s="75">
        <f t="shared" si="136"/>
        <v>0</v>
      </c>
      <c r="DQ91" s="75"/>
      <c r="DR91" s="75">
        <f t="shared" si="137"/>
        <v>0</v>
      </c>
    </row>
    <row r="92" spans="1:122" ht="30.75" hidden="1" customHeight="1" x14ac:dyDescent="0.3">
      <c r="A92" s="242"/>
      <c r="B92" s="271"/>
      <c r="C92" s="272" t="s">
        <v>238</v>
      </c>
      <c r="D92" s="272" t="s">
        <v>237</v>
      </c>
      <c r="E92" s="273">
        <v>520</v>
      </c>
      <c r="F92" s="181" t="s">
        <v>214</v>
      </c>
      <c r="G92" s="229"/>
      <c r="H92" s="79">
        <f t="shared" si="108"/>
        <v>11809333</v>
      </c>
      <c r="I92" s="79">
        <f t="shared" si="109"/>
        <v>28190667</v>
      </c>
      <c r="J92" s="78"/>
      <c r="K92" s="78"/>
      <c r="L92" s="78"/>
      <c r="M92" s="75">
        <f t="shared" si="110"/>
        <v>40000000</v>
      </c>
      <c r="N92" s="45"/>
      <c r="O92" s="45"/>
      <c r="P92" s="45"/>
      <c r="Q92" s="75">
        <v>10000000</v>
      </c>
      <c r="R92" s="75"/>
      <c r="S92" s="75">
        <v>30000000</v>
      </c>
      <c r="T92" s="75">
        <f>10000000-10000000</f>
        <v>0</v>
      </c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113"/>
      <c r="AI92" s="25">
        <f t="shared" si="111"/>
        <v>1</v>
      </c>
      <c r="AJ92" s="75">
        <f t="shared" si="112"/>
        <v>40000000</v>
      </c>
      <c r="AK92" s="75"/>
      <c r="AL92" s="75"/>
      <c r="AM92" s="75"/>
      <c r="AN92" s="75">
        <f>+'[3]ABRIL 2015'!$L$1744</f>
        <v>10000000</v>
      </c>
      <c r="AO92" s="75"/>
      <c r="AP92" s="75">
        <f>+'[8]FEBRERO 2015'!$N$1187</f>
        <v>30000000</v>
      </c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25">
        <f t="shared" si="148"/>
        <v>0</v>
      </c>
      <c r="BF92" s="75">
        <f t="shared" si="113"/>
        <v>0</v>
      </c>
      <c r="BG92" s="75">
        <f t="shared" si="114"/>
        <v>0</v>
      </c>
      <c r="BH92" s="75">
        <f t="shared" si="115"/>
        <v>0</v>
      </c>
      <c r="BI92" s="75"/>
      <c r="BJ92" s="75">
        <f t="shared" si="116"/>
        <v>0</v>
      </c>
      <c r="BK92" s="75"/>
      <c r="BL92" s="75">
        <f t="shared" si="117"/>
        <v>0</v>
      </c>
      <c r="BM92" s="75">
        <f t="shared" si="118"/>
        <v>0</v>
      </c>
      <c r="BN92" s="75"/>
      <c r="BO92" s="75">
        <f t="shared" si="146"/>
        <v>0</v>
      </c>
      <c r="BP92" s="75">
        <f t="shared" si="138"/>
        <v>0</v>
      </c>
      <c r="BQ92" s="75"/>
      <c r="BR92" s="75">
        <f t="shared" si="141"/>
        <v>0</v>
      </c>
      <c r="BS92" s="75">
        <f t="shared" si="142"/>
        <v>0</v>
      </c>
      <c r="BT92" s="75">
        <f t="shared" si="143"/>
        <v>0</v>
      </c>
      <c r="BU92" s="75">
        <f t="shared" si="147"/>
        <v>0</v>
      </c>
      <c r="BV92" s="75">
        <f t="shared" si="144"/>
        <v>0</v>
      </c>
      <c r="BW92" s="75">
        <f t="shared" si="145"/>
        <v>0</v>
      </c>
      <c r="BX92" s="75"/>
      <c r="BY92" s="75"/>
      <c r="BZ92" s="75">
        <f t="shared" si="120"/>
        <v>0</v>
      </c>
      <c r="CA92" s="25">
        <f t="shared" si="121"/>
        <v>0.29523332499999999</v>
      </c>
      <c r="CB92" s="75">
        <f t="shared" si="122"/>
        <v>11809333</v>
      </c>
      <c r="CC92" s="75"/>
      <c r="CD92" s="75"/>
      <c r="CE92" s="75"/>
      <c r="CF92" s="75"/>
      <c r="CG92" s="75"/>
      <c r="CH92" s="75">
        <f>+'[1]AGOSTO 2015'!$H$2986</f>
        <v>11809333</v>
      </c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25">
        <f t="shared" si="123"/>
        <v>0.70476667500000001</v>
      </c>
      <c r="CX92" s="75">
        <f t="shared" si="124"/>
        <v>28190667</v>
      </c>
      <c r="CY92" s="75"/>
      <c r="CZ92" s="75"/>
      <c r="DA92" s="75"/>
      <c r="DB92" s="75">
        <f t="shared" si="125"/>
        <v>10000000</v>
      </c>
      <c r="DC92" s="75"/>
      <c r="DD92" s="75">
        <f t="shared" si="126"/>
        <v>18190667</v>
      </c>
      <c r="DE92" s="75">
        <f t="shared" si="127"/>
        <v>0</v>
      </c>
      <c r="DF92" s="75"/>
      <c r="DG92" s="75">
        <f t="shared" si="128"/>
        <v>0</v>
      </c>
      <c r="DH92" s="75">
        <f t="shared" si="129"/>
        <v>0</v>
      </c>
      <c r="DI92" s="75"/>
      <c r="DJ92" s="75">
        <f t="shared" si="130"/>
        <v>0</v>
      </c>
      <c r="DK92" s="75">
        <f t="shared" si="131"/>
        <v>0</v>
      </c>
      <c r="DL92" s="75">
        <f t="shared" si="132"/>
        <v>0</v>
      </c>
      <c r="DM92" s="75">
        <f t="shared" si="133"/>
        <v>0</v>
      </c>
      <c r="DN92" s="75">
        <f t="shared" si="134"/>
        <v>0</v>
      </c>
      <c r="DO92" s="75">
        <f t="shared" si="135"/>
        <v>0</v>
      </c>
      <c r="DP92" s="75">
        <f t="shared" si="136"/>
        <v>0</v>
      </c>
      <c r="DQ92" s="75"/>
      <c r="DR92" s="75">
        <f t="shared" si="137"/>
        <v>0</v>
      </c>
    </row>
    <row r="93" spans="1:122" ht="28.5" hidden="1" customHeight="1" x14ac:dyDescent="0.3">
      <c r="A93" s="242"/>
      <c r="B93" s="271" t="s">
        <v>236</v>
      </c>
      <c r="C93" s="272" t="s">
        <v>235</v>
      </c>
      <c r="D93" s="272" t="s">
        <v>234</v>
      </c>
      <c r="E93" s="273">
        <v>520</v>
      </c>
      <c r="F93" s="181" t="s">
        <v>214</v>
      </c>
      <c r="G93" s="227">
        <v>20000000</v>
      </c>
      <c r="H93" s="79">
        <f t="shared" si="108"/>
        <v>7792400</v>
      </c>
      <c r="I93" s="79">
        <f t="shared" si="109"/>
        <v>2207600</v>
      </c>
      <c r="J93" s="78"/>
      <c r="K93" s="78"/>
      <c r="L93" s="78"/>
      <c r="M93" s="75">
        <f t="shared" si="110"/>
        <v>10000000</v>
      </c>
      <c r="N93" s="45"/>
      <c r="O93" s="45"/>
      <c r="P93" s="45"/>
      <c r="Q93" s="75"/>
      <c r="R93" s="75"/>
      <c r="S93" s="75">
        <v>10000000</v>
      </c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113"/>
      <c r="AI93" s="25">
        <f t="shared" si="111"/>
        <v>1</v>
      </c>
      <c r="AJ93" s="75">
        <f t="shared" si="112"/>
        <v>10000000</v>
      </c>
      <c r="AK93" s="75"/>
      <c r="AL93" s="75"/>
      <c r="AM93" s="75"/>
      <c r="AN93" s="75"/>
      <c r="AO93" s="75"/>
      <c r="AP93" s="75">
        <f>+'[8]FEBRERO 2015'!$G$1192</f>
        <v>10000000</v>
      </c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25">
        <f t="shared" si="148"/>
        <v>0</v>
      </c>
      <c r="BF93" s="75">
        <f t="shared" si="113"/>
        <v>0</v>
      </c>
      <c r="BG93" s="75">
        <f t="shared" si="114"/>
        <v>0</v>
      </c>
      <c r="BH93" s="75">
        <f t="shared" si="115"/>
        <v>0</v>
      </c>
      <c r="BI93" s="75"/>
      <c r="BJ93" s="75">
        <f t="shared" si="116"/>
        <v>0</v>
      </c>
      <c r="BK93" s="75"/>
      <c r="BL93" s="75">
        <f t="shared" si="117"/>
        <v>0</v>
      </c>
      <c r="BM93" s="75">
        <f t="shared" si="118"/>
        <v>0</v>
      </c>
      <c r="BN93" s="75"/>
      <c r="BO93" s="75">
        <f t="shared" si="146"/>
        <v>0</v>
      </c>
      <c r="BP93" s="75">
        <f t="shared" si="138"/>
        <v>0</v>
      </c>
      <c r="BQ93" s="75"/>
      <c r="BR93" s="75">
        <f t="shared" si="141"/>
        <v>0</v>
      </c>
      <c r="BS93" s="75">
        <f t="shared" si="142"/>
        <v>0</v>
      </c>
      <c r="BT93" s="75">
        <f t="shared" si="143"/>
        <v>0</v>
      </c>
      <c r="BU93" s="75">
        <f t="shared" si="147"/>
        <v>0</v>
      </c>
      <c r="BV93" s="75">
        <f t="shared" si="144"/>
        <v>0</v>
      </c>
      <c r="BW93" s="75">
        <f t="shared" si="145"/>
        <v>0</v>
      </c>
      <c r="BX93" s="75"/>
      <c r="BY93" s="75"/>
      <c r="BZ93" s="75">
        <f t="shared" si="120"/>
        <v>0</v>
      </c>
      <c r="CA93" s="25">
        <f t="shared" si="121"/>
        <v>0.77924000000000004</v>
      </c>
      <c r="CB93" s="75">
        <f t="shared" si="122"/>
        <v>7792400</v>
      </c>
      <c r="CC93" s="75"/>
      <c r="CD93" s="75"/>
      <c r="CE93" s="75"/>
      <c r="CF93" s="75"/>
      <c r="CG93" s="75"/>
      <c r="CH93" s="75">
        <f>+'[2]JULIO 2015'!$H$2656</f>
        <v>7792400</v>
      </c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25">
        <f t="shared" si="123"/>
        <v>0.22075999999999996</v>
      </c>
      <c r="CX93" s="75">
        <f t="shared" si="124"/>
        <v>2207600</v>
      </c>
      <c r="CY93" s="75"/>
      <c r="CZ93" s="75"/>
      <c r="DA93" s="75"/>
      <c r="DB93" s="75">
        <f t="shared" si="125"/>
        <v>0</v>
      </c>
      <c r="DC93" s="75"/>
      <c r="DD93" s="75">
        <f t="shared" si="126"/>
        <v>2207600</v>
      </c>
      <c r="DE93" s="75">
        <f t="shared" si="127"/>
        <v>0</v>
      </c>
      <c r="DF93" s="75"/>
      <c r="DG93" s="75">
        <f t="shared" si="128"/>
        <v>0</v>
      </c>
      <c r="DH93" s="75">
        <f t="shared" si="129"/>
        <v>0</v>
      </c>
      <c r="DI93" s="75"/>
      <c r="DJ93" s="75">
        <f t="shared" si="130"/>
        <v>0</v>
      </c>
      <c r="DK93" s="75">
        <f t="shared" si="131"/>
        <v>0</v>
      </c>
      <c r="DL93" s="75">
        <f t="shared" si="132"/>
        <v>0</v>
      </c>
      <c r="DM93" s="75">
        <f t="shared" si="133"/>
        <v>0</v>
      </c>
      <c r="DN93" s="75">
        <f t="shared" si="134"/>
        <v>0</v>
      </c>
      <c r="DO93" s="75">
        <f t="shared" si="135"/>
        <v>0</v>
      </c>
      <c r="DP93" s="75">
        <f t="shared" si="136"/>
        <v>0</v>
      </c>
      <c r="DQ93" s="75"/>
      <c r="DR93" s="75">
        <f t="shared" si="137"/>
        <v>0</v>
      </c>
    </row>
    <row r="94" spans="1:122" ht="25.5" hidden="1" customHeight="1" x14ac:dyDescent="0.3">
      <c r="A94" s="242"/>
      <c r="B94" s="271"/>
      <c r="C94" s="272" t="s">
        <v>233</v>
      </c>
      <c r="D94" s="272" t="s">
        <v>232</v>
      </c>
      <c r="E94" s="273">
        <v>520</v>
      </c>
      <c r="F94" s="181" t="s">
        <v>214</v>
      </c>
      <c r="G94" s="229"/>
      <c r="H94" s="79">
        <f t="shared" si="108"/>
        <v>0</v>
      </c>
      <c r="I94" s="79">
        <f t="shared" si="109"/>
        <v>10000000</v>
      </c>
      <c r="J94" s="78"/>
      <c r="K94" s="78"/>
      <c r="L94" s="78"/>
      <c r="M94" s="75">
        <f t="shared" si="110"/>
        <v>10000000</v>
      </c>
      <c r="N94" s="45"/>
      <c r="O94" s="45"/>
      <c r="P94" s="45"/>
      <c r="Q94" s="45"/>
      <c r="R94" s="45"/>
      <c r="S94" s="75">
        <v>10000000</v>
      </c>
      <c r="T94" s="45"/>
      <c r="U94" s="45"/>
      <c r="V94" s="45"/>
      <c r="W94" s="45"/>
      <c r="X94" s="45"/>
      <c r="Y94" s="24"/>
      <c r="Z94" s="45"/>
      <c r="AA94" s="45"/>
      <c r="AB94" s="45"/>
      <c r="AC94" s="45"/>
      <c r="AD94" s="45"/>
      <c r="AE94" s="45"/>
      <c r="AF94" s="45"/>
      <c r="AG94" s="116"/>
      <c r="AH94" s="113"/>
      <c r="AI94" s="25">
        <f t="shared" si="111"/>
        <v>1</v>
      </c>
      <c r="AJ94" s="75">
        <f t="shared" si="112"/>
        <v>10000000</v>
      </c>
      <c r="AK94" s="75"/>
      <c r="AL94" s="75"/>
      <c r="AM94" s="75"/>
      <c r="AN94" s="75"/>
      <c r="AO94" s="75"/>
      <c r="AP94" s="75">
        <f>+'[8]FEBRERO 2015'!$N$1199</f>
        <v>10000000</v>
      </c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25">
        <f t="shared" si="148"/>
        <v>0</v>
      </c>
      <c r="BF94" s="75">
        <f t="shared" si="113"/>
        <v>0</v>
      </c>
      <c r="BG94" s="75">
        <f t="shared" si="114"/>
        <v>0</v>
      </c>
      <c r="BH94" s="75">
        <f t="shared" si="115"/>
        <v>0</v>
      </c>
      <c r="BI94" s="75"/>
      <c r="BJ94" s="75">
        <f t="shared" si="116"/>
        <v>0</v>
      </c>
      <c r="BK94" s="75"/>
      <c r="BL94" s="75">
        <f t="shared" si="117"/>
        <v>0</v>
      </c>
      <c r="BM94" s="75">
        <f t="shared" si="118"/>
        <v>0</v>
      </c>
      <c r="BN94" s="75"/>
      <c r="BO94" s="75">
        <f t="shared" si="146"/>
        <v>0</v>
      </c>
      <c r="BP94" s="75">
        <f t="shared" si="138"/>
        <v>0</v>
      </c>
      <c r="BQ94" s="75"/>
      <c r="BR94" s="75">
        <f t="shared" si="141"/>
        <v>0</v>
      </c>
      <c r="BS94" s="75">
        <f t="shared" si="142"/>
        <v>0</v>
      </c>
      <c r="BT94" s="75">
        <f t="shared" si="143"/>
        <v>0</v>
      </c>
      <c r="BU94" s="75">
        <f t="shared" si="147"/>
        <v>0</v>
      </c>
      <c r="BV94" s="75">
        <f t="shared" si="144"/>
        <v>0</v>
      </c>
      <c r="BW94" s="75">
        <f t="shared" si="145"/>
        <v>0</v>
      </c>
      <c r="BX94" s="75"/>
      <c r="BY94" s="75"/>
      <c r="BZ94" s="75">
        <f t="shared" si="120"/>
        <v>0</v>
      </c>
      <c r="CA94" s="25">
        <f t="shared" si="121"/>
        <v>0</v>
      </c>
      <c r="CB94" s="75">
        <f t="shared" si="122"/>
        <v>0</v>
      </c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25">
        <f t="shared" si="123"/>
        <v>1</v>
      </c>
      <c r="CX94" s="75">
        <f t="shared" si="124"/>
        <v>10000000</v>
      </c>
      <c r="CY94" s="75"/>
      <c r="CZ94" s="75"/>
      <c r="DA94" s="75"/>
      <c r="DB94" s="75">
        <f t="shared" si="125"/>
        <v>0</v>
      </c>
      <c r="DC94" s="75"/>
      <c r="DD94" s="75">
        <f t="shared" si="126"/>
        <v>10000000</v>
      </c>
      <c r="DE94" s="75">
        <f t="shared" si="127"/>
        <v>0</v>
      </c>
      <c r="DF94" s="75"/>
      <c r="DG94" s="75">
        <f t="shared" si="128"/>
        <v>0</v>
      </c>
      <c r="DH94" s="75">
        <f t="shared" si="129"/>
        <v>0</v>
      </c>
      <c r="DI94" s="75"/>
      <c r="DJ94" s="75">
        <f t="shared" si="130"/>
        <v>0</v>
      </c>
      <c r="DK94" s="75">
        <f t="shared" si="131"/>
        <v>0</v>
      </c>
      <c r="DL94" s="75">
        <f t="shared" si="132"/>
        <v>0</v>
      </c>
      <c r="DM94" s="75">
        <f t="shared" si="133"/>
        <v>0</v>
      </c>
      <c r="DN94" s="75">
        <f t="shared" si="134"/>
        <v>0</v>
      </c>
      <c r="DO94" s="75">
        <f t="shared" si="135"/>
        <v>0</v>
      </c>
      <c r="DP94" s="75">
        <f t="shared" si="136"/>
        <v>0</v>
      </c>
      <c r="DQ94" s="75"/>
      <c r="DR94" s="75">
        <f t="shared" si="137"/>
        <v>0</v>
      </c>
    </row>
    <row r="95" spans="1:122" ht="36" hidden="1" customHeight="1" x14ac:dyDescent="0.3">
      <c r="A95" s="242"/>
      <c r="B95" s="271" t="s">
        <v>231</v>
      </c>
      <c r="C95" s="272" t="s">
        <v>230</v>
      </c>
      <c r="D95" s="272" t="s">
        <v>229</v>
      </c>
      <c r="E95" s="273">
        <v>520</v>
      </c>
      <c r="F95" s="181" t="s">
        <v>214</v>
      </c>
      <c r="G95" s="227">
        <v>150000000</v>
      </c>
      <c r="H95" s="79">
        <f t="shared" si="108"/>
        <v>0</v>
      </c>
      <c r="I95" s="79">
        <f t="shared" si="109"/>
        <v>15000000</v>
      </c>
      <c r="J95" s="78"/>
      <c r="K95" s="78"/>
      <c r="L95" s="78"/>
      <c r="M95" s="75">
        <f t="shared" si="110"/>
        <v>15000000</v>
      </c>
      <c r="N95" s="45"/>
      <c r="O95" s="45">
        <f>15000000-15000000</f>
        <v>0</v>
      </c>
      <c r="P95" s="45"/>
      <c r="Q95" s="45"/>
      <c r="R95" s="45"/>
      <c r="S95" s="115">
        <f>15000000</f>
        <v>15000000</v>
      </c>
      <c r="T95" s="45"/>
      <c r="U95" s="45"/>
      <c r="V95" s="45"/>
      <c r="W95" s="45"/>
      <c r="X95" s="45"/>
      <c r="Y95" s="24"/>
      <c r="Z95" s="45"/>
      <c r="AA95" s="45"/>
      <c r="AB95" s="45"/>
      <c r="AC95" s="45"/>
      <c r="AD95" s="45"/>
      <c r="AE95" s="45"/>
      <c r="AF95" s="45"/>
      <c r="AG95" s="116"/>
      <c r="AH95" s="113"/>
      <c r="AI95" s="25">
        <f t="shared" si="111"/>
        <v>1</v>
      </c>
      <c r="AJ95" s="75">
        <f t="shared" si="112"/>
        <v>15000000</v>
      </c>
      <c r="AK95" s="75"/>
      <c r="AL95" s="75"/>
      <c r="AM95" s="75"/>
      <c r="AN95" s="75"/>
      <c r="AO95" s="75"/>
      <c r="AP95" s="75">
        <f>+'[5]FEBRERO 2015'!$N$1280</f>
        <v>15000000</v>
      </c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25">
        <f t="shared" si="148"/>
        <v>0</v>
      </c>
      <c r="BF95" s="75">
        <f t="shared" si="113"/>
        <v>0</v>
      </c>
      <c r="BG95" s="75">
        <f t="shared" si="114"/>
        <v>0</v>
      </c>
      <c r="BH95" s="75">
        <f t="shared" si="115"/>
        <v>0</v>
      </c>
      <c r="BI95" s="75"/>
      <c r="BJ95" s="75">
        <f t="shared" si="116"/>
        <v>0</v>
      </c>
      <c r="BK95" s="75"/>
      <c r="BL95" s="75">
        <f t="shared" si="117"/>
        <v>0</v>
      </c>
      <c r="BM95" s="75">
        <f t="shared" si="118"/>
        <v>0</v>
      </c>
      <c r="BN95" s="75"/>
      <c r="BO95" s="75">
        <f t="shared" si="146"/>
        <v>0</v>
      </c>
      <c r="BP95" s="75">
        <f t="shared" si="138"/>
        <v>0</v>
      </c>
      <c r="BQ95" s="75"/>
      <c r="BR95" s="75">
        <f t="shared" si="141"/>
        <v>0</v>
      </c>
      <c r="BS95" s="75">
        <f t="shared" si="142"/>
        <v>0</v>
      </c>
      <c r="BT95" s="75">
        <f t="shared" si="143"/>
        <v>0</v>
      </c>
      <c r="BU95" s="75">
        <f t="shared" si="147"/>
        <v>0</v>
      </c>
      <c r="BV95" s="75">
        <f t="shared" si="144"/>
        <v>0</v>
      </c>
      <c r="BW95" s="75">
        <f t="shared" si="145"/>
        <v>0</v>
      </c>
      <c r="BX95" s="75"/>
      <c r="BY95" s="75"/>
      <c r="BZ95" s="75">
        <f t="shared" si="120"/>
        <v>0</v>
      </c>
      <c r="CA95" s="25">
        <f t="shared" si="121"/>
        <v>0</v>
      </c>
      <c r="CB95" s="75">
        <f t="shared" si="122"/>
        <v>0</v>
      </c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25">
        <f t="shared" si="123"/>
        <v>1</v>
      </c>
      <c r="CX95" s="75">
        <f t="shared" si="124"/>
        <v>15000000</v>
      </c>
      <c r="CY95" s="75"/>
      <c r="CZ95" s="75">
        <f>O95-CD95</f>
        <v>0</v>
      </c>
      <c r="DA95" s="75">
        <f>P95-CE95</f>
        <v>0</v>
      </c>
      <c r="DB95" s="75">
        <f t="shared" si="125"/>
        <v>0</v>
      </c>
      <c r="DC95" s="75"/>
      <c r="DD95" s="75">
        <f t="shared" si="126"/>
        <v>15000000</v>
      </c>
      <c r="DE95" s="75">
        <f t="shared" si="127"/>
        <v>0</v>
      </c>
      <c r="DF95" s="75"/>
      <c r="DG95" s="75">
        <f t="shared" si="128"/>
        <v>0</v>
      </c>
      <c r="DH95" s="75">
        <f t="shared" si="129"/>
        <v>0</v>
      </c>
      <c r="DI95" s="75"/>
      <c r="DJ95" s="75">
        <f t="shared" si="130"/>
        <v>0</v>
      </c>
      <c r="DK95" s="75">
        <f t="shared" si="131"/>
        <v>0</v>
      </c>
      <c r="DL95" s="75">
        <f t="shared" si="132"/>
        <v>0</v>
      </c>
      <c r="DM95" s="75">
        <f t="shared" si="133"/>
        <v>0</v>
      </c>
      <c r="DN95" s="75">
        <f t="shared" si="134"/>
        <v>0</v>
      </c>
      <c r="DO95" s="75">
        <f t="shared" si="135"/>
        <v>0</v>
      </c>
      <c r="DP95" s="75">
        <f t="shared" si="136"/>
        <v>0</v>
      </c>
      <c r="DQ95" s="75"/>
      <c r="DR95" s="75">
        <f t="shared" si="137"/>
        <v>0</v>
      </c>
    </row>
    <row r="96" spans="1:122" ht="35.25" hidden="1" customHeight="1" x14ac:dyDescent="0.3">
      <c r="A96" s="242"/>
      <c r="B96" s="271"/>
      <c r="C96" s="272" t="s">
        <v>228</v>
      </c>
      <c r="D96" s="272" t="s">
        <v>227</v>
      </c>
      <c r="E96" s="273">
        <v>520</v>
      </c>
      <c r="F96" s="181" t="s">
        <v>214</v>
      </c>
      <c r="G96" s="228"/>
      <c r="H96" s="79">
        <f t="shared" si="108"/>
        <v>21125500</v>
      </c>
      <c r="I96" s="79">
        <f t="shared" si="109"/>
        <v>8874500</v>
      </c>
      <c r="J96" s="78"/>
      <c r="K96" s="78"/>
      <c r="L96" s="78"/>
      <c r="M96" s="75">
        <f t="shared" si="110"/>
        <v>30000000</v>
      </c>
      <c r="N96" s="45"/>
      <c r="O96" s="45">
        <f>30000000-30000000</f>
        <v>0</v>
      </c>
      <c r="P96" s="45"/>
      <c r="Q96" s="45"/>
      <c r="R96" s="45"/>
      <c r="S96" s="115">
        <v>30000000</v>
      </c>
      <c r="T96" s="45"/>
      <c r="U96" s="45"/>
      <c r="V96" s="45"/>
      <c r="W96" s="45"/>
      <c r="X96" s="45"/>
      <c r="Y96" s="24"/>
      <c r="Z96" s="45"/>
      <c r="AA96" s="45"/>
      <c r="AB96" s="45"/>
      <c r="AC96" s="45"/>
      <c r="AD96" s="45"/>
      <c r="AE96" s="45"/>
      <c r="AF96" s="45"/>
      <c r="AG96" s="116"/>
      <c r="AH96" s="113"/>
      <c r="AI96" s="25">
        <f t="shared" si="111"/>
        <v>1</v>
      </c>
      <c r="AJ96" s="75">
        <f t="shared" si="112"/>
        <v>30000000</v>
      </c>
      <c r="AK96" s="75"/>
      <c r="AL96" s="75"/>
      <c r="AM96" s="75"/>
      <c r="AN96" s="75"/>
      <c r="AO96" s="75"/>
      <c r="AP96" s="75">
        <f>+'[5]FEBRERO 2015'!$N$1285</f>
        <v>30000000</v>
      </c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25">
        <f t="shared" si="148"/>
        <v>0</v>
      </c>
      <c r="BF96" s="75">
        <f t="shared" si="113"/>
        <v>0</v>
      </c>
      <c r="BG96" s="75">
        <f t="shared" si="114"/>
        <v>0</v>
      </c>
      <c r="BH96" s="75">
        <f t="shared" si="115"/>
        <v>0</v>
      </c>
      <c r="BI96" s="75"/>
      <c r="BJ96" s="75">
        <f t="shared" si="116"/>
        <v>0</v>
      </c>
      <c r="BK96" s="75"/>
      <c r="BL96" s="75">
        <f t="shared" si="117"/>
        <v>0</v>
      </c>
      <c r="BM96" s="75">
        <f t="shared" si="118"/>
        <v>0</v>
      </c>
      <c r="BN96" s="75"/>
      <c r="BO96" s="75">
        <f t="shared" si="146"/>
        <v>0</v>
      </c>
      <c r="BP96" s="75">
        <f t="shared" si="138"/>
        <v>0</v>
      </c>
      <c r="BQ96" s="75"/>
      <c r="BR96" s="75">
        <f t="shared" si="141"/>
        <v>0</v>
      </c>
      <c r="BS96" s="75">
        <f t="shared" si="142"/>
        <v>0</v>
      </c>
      <c r="BT96" s="75">
        <f t="shared" si="143"/>
        <v>0</v>
      </c>
      <c r="BU96" s="75">
        <f t="shared" si="147"/>
        <v>0</v>
      </c>
      <c r="BV96" s="75">
        <f t="shared" si="144"/>
        <v>0</v>
      </c>
      <c r="BW96" s="75">
        <f t="shared" si="145"/>
        <v>0</v>
      </c>
      <c r="BX96" s="75"/>
      <c r="BY96" s="75"/>
      <c r="BZ96" s="75">
        <f t="shared" si="120"/>
        <v>0</v>
      </c>
      <c r="CA96" s="25">
        <f t="shared" si="121"/>
        <v>0.70418333333333338</v>
      </c>
      <c r="CB96" s="75">
        <f t="shared" si="122"/>
        <v>21125500</v>
      </c>
      <c r="CC96" s="75"/>
      <c r="CD96" s="75"/>
      <c r="CE96" s="75"/>
      <c r="CF96" s="75"/>
      <c r="CG96" s="75"/>
      <c r="CH96" s="75">
        <f>+'[1]AGOSTO 2015'!$H$3018</f>
        <v>21125500</v>
      </c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25">
        <f t="shared" si="123"/>
        <v>0.29581666666666662</v>
      </c>
      <c r="CX96" s="75">
        <f t="shared" si="124"/>
        <v>8874500</v>
      </c>
      <c r="CY96" s="75"/>
      <c r="CZ96" s="75">
        <f>O96-CD96</f>
        <v>0</v>
      </c>
      <c r="DA96" s="75">
        <f>P96-CE96</f>
        <v>0</v>
      </c>
      <c r="DB96" s="75">
        <f t="shared" si="125"/>
        <v>0</v>
      </c>
      <c r="DC96" s="75"/>
      <c r="DD96" s="75">
        <f t="shared" si="126"/>
        <v>8874500</v>
      </c>
      <c r="DE96" s="75">
        <f t="shared" si="127"/>
        <v>0</v>
      </c>
      <c r="DF96" s="75"/>
      <c r="DG96" s="75">
        <f t="shared" si="128"/>
        <v>0</v>
      </c>
      <c r="DH96" s="75">
        <f t="shared" si="129"/>
        <v>0</v>
      </c>
      <c r="DI96" s="75"/>
      <c r="DJ96" s="75">
        <f t="shared" si="130"/>
        <v>0</v>
      </c>
      <c r="DK96" s="75">
        <f t="shared" si="131"/>
        <v>0</v>
      </c>
      <c r="DL96" s="75">
        <f t="shared" si="132"/>
        <v>0</v>
      </c>
      <c r="DM96" s="75">
        <f t="shared" si="133"/>
        <v>0</v>
      </c>
      <c r="DN96" s="75">
        <f t="shared" si="134"/>
        <v>0</v>
      </c>
      <c r="DO96" s="75">
        <f t="shared" si="135"/>
        <v>0</v>
      </c>
      <c r="DP96" s="75">
        <f t="shared" si="136"/>
        <v>0</v>
      </c>
      <c r="DQ96" s="75"/>
      <c r="DR96" s="75">
        <f t="shared" si="137"/>
        <v>0</v>
      </c>
    </row>
    <row r="97" spans="1:122" ht="34.5" hidden="1" customHeight="1" x14ac:dyDescent="0.3">
      <c r="A97" s="242"/>
      <c r="B97" s="271"/>
      <c r="C97" s="272" t="s">
        <v>226</v>
      </c>
      <c r="D97" s="272" t="s">
        <v>225</v>
      </c>
      <c r="E97" s="273">
        <v>520</v>
      </c>
      <c r="F97" s="181" t="s">
        <v>214</v>
      </c>
      <c r="G97" s="228"/>
      <c r="H97" s="79">
        <f t="shared" si="108"/>
        <v>0</v>
      </c>
      <c r="I97" s="79">
        <f t="shared" si="109"/>
        <v>20000000</v>
      </c>
      <c r="J97" s="78"/>
      <c r="K97" s="78"/>
      <c r="L97" s="78"/>
      <c r="M97" s="75">
        <f t="shared" si="110"/>
        <v>20000000</v>
      </c>
      <c r="N97" s="45"/>
      <c r="O97" s="45"/>
      <c r="P97" s="45"/>
      <c r="Q97" s="45"/>
      <c r="R97" s="45"/>
      <c r="S97" s="75">
        <f>50000000-30000000</f>
        <v>20000000</v>
      </c>
      <c r="T97" s="45"/>
      <c r="U97" s="45"/>
      <c r="V97" s="45"/>
      <c r="W97" s="45"/>
      <c r="X97" s="45"/>
      <c r="Y97" s="24"/>
      <c r="Z97" s="45"/>
      <c r="AA97" s="45"/>
      <c r="AB97" s="45"/>
      <c r="AC97" s="45"/>
      <c r="AD97" s="45"/>
      <c r="AE97" s="45"/>
      <c r="AF97" s="45"/>
      <c r="AG97" s="116"/>
      <c r="AH97" s="113"/>
      <c r="AI97" s="25">
        <f t="shared" si="111"/>
        <v>1</v>
      </c>
      <c r="AJ97" s="75">
        <f t="shared" si="112"/>
        <v>20000000</v>
      </c>
      <c r="AK97" s="75"/>
      <c r="AL97" s="75"/>
      <c r="AM97" s="75"/>
      <c r="AN97" s="75"/>
      <c r="AO97" s="75"/>
      <c r="AP97" s="75">
        <f>+'[8]FEBRERO 2015'!$N$1216-30000000</f>
        <v>20000000</v>
      </c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25">
        <f t="shared" si="148"/>
        <v>0</v>
      </c>
      <c r="BF97" s="75">
        <f t="shared" si="113"/>
        <v>0</v>
      </c>
      <c r="BG97" s="75">
        <f t="shared" si="114"/>
        <v>0</v>
      </c>
      <c r="BH97" s="75">
        <f t="shared" si="115"/>
        <v>0</v>
      </c>
      <c r="BI97" s="75"/>
      <c r="BJ97" s="75">
        <f t="shared" si="116"/>
        <v>0</v>
      </c>
      <c r="BK97" s="75"/>
      <c r="BL97" s="75">
        <f t="shared" si="117"/>
        <v>0</v>
      </c>
      <c r="BM97" s="75">
        <f t="shared" si="118"/>
        <v>0</v>
      </c>
      <c r="BN97" s="75"/>
      <c r="BO97" s="75">
        <f t="shared" si="146"/>
        <v>0</v>
      </c>
      <c r="BP97" s="75">
        <f t="shared" si="138"/>
        <v>0</v>
      </c>
      <c r="BQ97" s="75"/>
      <c r="BR97" s="75">
        <f t="shared" si="141"/>
        <v>0</v>
      </c>
      <c r="BS97" s="75">
        <f t="shared" si="142"/>
        <v>0</v>
      </c>
      <c r="BT97" s="75">
        <f t="shared" si="143"/>
        <v>0</v>
      </c>
      <c r="BU97" s="75">
        <f t="shared" si="147"/>
        <v>0</v>
      </c>
      <c r="BV97" s="75">
        <f t="shared" si="144"/>
        <v>0</v>
      </c>
      <c r="BW97" s="75">
        <f t="shared" si="145"/>
        <v>0</v>
      </c>
      <c r="BX97" s="75"/>
      <c r="BY97" s="75"/>
      <c r="BZ97" s="75">
        <f t="shared" si="120"/>
        <v>0</v>
      </c>
      <c r="CA97" s="25">
        <f t="shared" si="121"/>
        <v>0</v>
      </c>
      <c r="CB97" s="75">
        <f t="shared" si="122"/>
        <v>0</v>
      </c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25">
        <f t="shared" si="123"/>
        <v>1</v>
      </c>
      <c r="CX97" s="75">
        <f t="shared" si="124"/>
        <v>20000000</v>
      </c>
      <c r="CY97" s="75"/>
      <c r="CZ97" s="75"/>
      <c r="DA97" s="75"/>
      <c r="DB97" s="75">
        <f t="shared" si="125"/>
        <v>0</v>
      </c>
      <c r="DC97" s="75"/>
      <c r="DD97" s="75">
        <f t="shared" si="126"/>
        <v>20000000</v>
      </c>
      <c r="DE97" s="75">
        <f t="shared" si="127"/>
        <v>0</v>
      </c>
      <c r="DF97" s="75"/>
      <c r="DG97" s="75">
        <f t="shared" si="128"/>
        <v>0</v>
      </c>
      <c r="DH97" s="75">
        <f t="shared" si="129"/>
        <v>0</v>
      </c>
      <c r="DI97" s="75"/>
      <c r="DJ97" s="75">
        <f t="shared" si="130"/>
        <v>0</v>
      </c>
      <c r="DK97" s="75">
        <f t="shared" si="131"/>
        <v>0</v>
      </c>
      <c r="DL97" s="75">
        <f t="shared" si="132"/>
        <v>0</v>
      </c>
      <c r="DM97" s="75">
        <f t="shared" si="133"/>
        <v>0</v>
      </c>
      <c r="DN97" s="75">
        <f t="shared" si="134"/>
        <v>0</v>
      </c>
      <c r="DO97" s="75">
        <f t="shared" si="135"/>
        <v>0</v>
      </c>
      <c r="DP97" s="75">
        <f t="shared" si="136"/>
        <v>0</v>
      </c>
      <c r="DQ97" s="75"/>
      <c r="DR97" s="75">
        <f t="shared" si="137"/>
        <v>0</v>
      </c>
    </row>
    <row r="98" spans="1:122" ht="33.75" hidden="1" customHeight="1" x14ac:dyDescent="0.3">
      <c r="A98" s="242"/>
      <c r="B98" s="271"/>
      <c r="C98" s="272" t="s">
        <v>224</v>
      </c>
      <c r="D98" s="272" t="s">
        <v>223</v>
      </c>
      <c r="E98" s="273">
        <v>520</v>
      </c>
      <c r="F98" s="181" t="s">
        <v>214</v>
      </c>
      <c r="G98" s="229"/>
      <c r="H98" s="79">
        <f t="shared" si="108"/>
        <v>646074</v>
      </c>
      <c r="I98" s="79">
        <f t="shared" si="109"/>
        <v>24353926</v>
      </c>
      <c r="J98" s="78"/>
      <c r="K98" s="78"/>
      <c r="L98" s="78"/>
      <c r="M98" s="75">
        <f t="shared" si="110"/>
        <v>25000000</v>
      </c>
      <c r="N98" s="45"/>
      <c r="O98" s="45">
        <f>10819123-10819123</f>
        <v>0</v>
      </c>
      <c r="P98" s="45"/>
      <c r="Q98" s="45"/>
      <c r="R98" s="45"/>
      <c r="S98" s="115">
        <f>44180877+10819123-30000000</f>
        <v>25000000</v>
      </c>
      <c r="T98" s="45"/>
      <c r="U98" s="45"/>
      <c r="V98" s="45"/>
      <c r="W98" s="45"/>
      <c r="X98" s="45"/>
      <c r="Y98" s="24"/>
      <c r="Z98" s="45"/>
      <c r="AA98" s="45"/>
      <c r="AB98" s="75"/>
      <c r="AC98" s="75"/>
      <c r="AD98" s="75"/>
      <c r="AE98" s="75"/>
      <c r="AF98" s="75"/>
      <c r="AG98" s="75"/>
      <c r="AH98" s="113"/>
      <c r="AI98" s="25">
        <f t="shared" si="111"/>
        <v>0.56723508</v>
      </c>
      <c r="AJ98" s="75">
        <f t="shared" si="112"/>
        <v>14180877</v>
      </c>
      <c r="AK98" s="75"/>
      <c r="AL98" s="75"/>
      <c r="AM98" s="75"/>
      <c r="AN98" s="75"/>
      <c r="AO98" s="75"/>
      <c r="AP98" s="75">
        <f>+'[8]FEBRERO 2015'!$N$1221-30000000</f>
        <v>14180877</v>
      </c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25">
        <f t="shared" si="148"/>
        <v>0.43276492</v>
      </c>
      <c r="BF98" s="75">
        <f t="shared" si="113"/>
        <v>10819123</v>
      </c>
      <c r="BG98" s="75">
        <f t="shared" si="114"/>
        <v>0</v>
      </c>
      <c r="BH98" s="75">
        <f t="shared" si="115"/>
        <v>0</v>
      </c>
      <c r="BI98" s="75"/>
      <c r="BJ98" s="75">
        <f t="shared" si="116"/>
        <v>0</v>
      </c>
      <c r="BK98" s="75"/>
      <c r="BL98" s="75">
        <f t="shared" si="117"/>
        <v>10819123</v>
      </c>
      <c r="BM98" s="75">
        <f t="shared" si="118"/>
        <v>0</v>
      </c>
      <c r="BN98" s="75"/>
      <c r="BO98" s="75">
        <f t="shared" si="146"/>
        <v>0</v>
      </c>
      <c r="BP98" s="75">
        <f t="shared" si="138"/>
        <v>0</v>
      </c>
      <c r="BQ98" s="75"/>
      <c r="BR98" s="75">
        <f t="shared" si="141"/>
        <v>0</v>
      </c>
      <c r="BS98" s="75">
        <f t="shared" si="142"/>
        <v>0</v>
      </c>
      <c r="BT98" s="75">
        <f t="shared" si="143"/>
        <v>0</v>
      </c>
      <c r="BU98" s="75">
        <f t="shared" si="147"/>
        <v>0</v>
      </c>
      <c r="BV98" s="75">
        <f t="shared" si="144"/>
        <v>0</v>
      </c>
      <c r="BW98" s="75">
        <f t="shared" si="145"/>
        <v>0</v>
      </c>
      <c r="BX98" s="75"/>
      <c r="BY98" s="75"/>
      <c r="BZ98" s="75">
        <f t="shared" si="120"/>
        <v>0</v>
      </c>
      <c r="CA98" s="25">
        <f t="shared" si="121"/>
        <v>2.5842960000000002E-2</v>
      </c>
      <c r="CB98" s="75">
        <f t="shared" si="122"/>
        <v>646074</v>
      </c>
      <c r="CC98" s="75"/>
      <c r="CD98" s="75"/>
      <c r="CE98" s="75"/>
      <c r="CF98" s="75"/>
      <c r="CG98" s="75"/>
      <c r="CH98" s="75">
        <f>+'[1]AGOSTO 2015'!$H$3027</f>
        <v>646074</v>
      </c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25">
        <f t="shared" si="123"/>
        <v>0.97415704000000003</v>
      </c>
      <c r="CX98" s="75">
        <f t="shared" si="124"/>
        <v>24353926</v>
      </c>
      <c r="CY98" s="75"/>
      <c r="CZ98" s="75">
        <f>O98-CD98</f>
        <v>0</v>
      </c>
      <c r="DA98" s="75">
        <f>P98-CE98</f>
        <v>0</v>
      </c>
      <c r="DB98" s="75">
        <f t="shared" si="125"/>
        <v>0</v>
      </c>
      <c r="DC98" s="75"/>
      <c r="DD98" s="75">
        <f t="shared" si="126"/>
        <v>24353926</v>
      </c>
      <c r="DE98" s="75">
        <f t="shared" si="127"/>
        <v>0</v>
      </c>
      <c r="DF98" s="75"/>
      <c r="DG98" s="75">
        <f t="shared" si="128"/>
        <v>0</v>
      </c>
      <c r="DH98" s="75">
        <f t="shared" si="129"/>
        <v>0</v>
      </c>
      <c r="DI98" s="75"/>
      <c r="DJ98" s="75">
        <f t="shared" si="130"/>
        <v>0</v>
      </c>
      <c r="DK98" s="75">
        <f t="shared" si="131"/>
        <v>0</v>
      </c>
      <c r="DL98" s="75">
        <f t="shared" si="132"/>
        <v>0</v>
      </c>
      <c r="DM98" s="75">
        <f t="shared" si="133"/>
        <v>0</v>
      </c>
      <c r="DN98" s="75">
        <f t="shared" si="134"/>
        <v>0</v>
      </c>
      <c r="DO98" s="75">
        <f t="shared" si="135"/>
        <v>0</v>
      </c>
      <c r="DP98" s="75">
        <f t="shared" si="136"/>
        <v>0</v>
      </c>
      <c r="DQ98" s="75"/>
      <c r="DR98" s="75">
        <f t="shared" si="137"/>
        <v>0</v>
      </c>
    </row>
    <row r="99" spans="1:122" ht="32.25" hidden="1" customHeight="1" x14ac:dyDescent="0.3">
      <c r="A99" s="242"/>
      <c r="B99" s="271" t="s">
        <v>222</v>
      </c>
      <c r="C99" s="272" t="s">
        <v>221</v>
      </c>
      <c r="D99" s="272" t="s">
        <v>220</v>
      </c>
      <c r="E99" s="273">
        <v>520</v>
      </c>
      <c r="F99" s="181" t="s">
        <v>214</v>
      </c>
      <c r="G99" s="78">
        <v>10000000</v>
      </c>
      <c r="H99" s="79">
        <f t="shared" si="108"/>
        <v>0</v>
      </c>
      <c r="I99" s="79">
        <f t="shared" si="109"/>
        <v>0</v>
      </c>
      <c r="J99" s="78"/>
      <c r="K99" s="78"/>
      <c r="L99" s="78"/>
      <c r="M99" s="75">
        <f t="shared" si="110"/>
        <v>0</v>
      </c>
      <c r="N99" s="45"/>
      <c r="O99" s="45"/>
      <c r="P99" s="45"/>
      <c r="Q99" s="45"/>
      <c r="R99" s="45"/>
      <c r="S99" s="75">
        <f>10000000-10000000</f>
        <v>0</v>
      </c>
      <c r="T99" s="45"/>
      <c r="U99" s="45"/>
      <c r="V99" s="45"/>
      <c r="W99" s="45"/>
      <c r="X99" s="45"/>
      <c r="Y99" s="24"/>
      <c r="Z99" s="45"/>
      <c r="AA99" s="45"/>
      <c r="AB99" s="75">
        <f>10000000-10000000</f>
        <v>0</v>
      </c>
      <c r="AC99" s="75"/>
      <c r="AD99" s="75"/>
      <c r="AE99" s="75"/>
      <c r="AF99" s="75"/>
      <c r="AG99" s="75"/>
      <c r="AH99" s="113"/>
      <c r="AI99" s="25" t="e">
        <f t="shared" si="111"/>
        <v>#DIV/0!</v>
      </c>
      <c r="AJ99" s="75">
        <f t="shared" si="112"/>
        <v>0</v>
      </c>
      <c r="AK99" s="75"/>
      <c r="AL99" s="75"/>
      <c r="AM99" s="75"/>
      <c r="AN99" s="75"/>
      <c r="AO99" s="75"/>
      <c r="AP99" s="75">
        <f>+'[8]FEBRERO 2015'!$N$1228-10000000</f>
        <v>0</v>
      </c>
      <c r="AQ99" s="75"/>
      <c r="AR99" s="75"/>
      <c r="AS99" s="75"/>
      <c r="AT99" s="75"/>
      <c r="AU99" s="75"/>
      <c r="AV99" s="75"/>
      <c r="AW99" s="75"/>
      <c r="AX99" s="75"/>
      <c r="AY99" s="75">
        <f>+'[5]FEBRERO 2015'!$W$1302-10000000</f>
        <v>0</v>
      </c>
      <c r="AZ99" s="75"/>
      <c r="BA99" s="75"/>
      <c r="BB99" s="75"/>
      <c r="BC99" s="75"/>
      <c r="BD99" s="75"/>
      <c r="BE99" s="25" t="e">
        <f t="shared" si="148"/>
        <v>#DIV/0!</v>
      </c>
      <c r="BF99" s="75">
        <f t="shared" si="113"/>
        <v>0</v>
      </c>
      <c r="BG99" s="75">
        <f t="shared" si="114"/>
        <v>0</v>
      </c>
      <c r="BH99" s="75">
        <f t="shared" si="115"/>
        <v>0</v>
      </c>
      <c r="BI99" s="75"/>
      <c r="BJ99" s="75">
        <f t="shared" si="116"/>
        <v>0</v>
      </c>
      <c r="BK99" s="75"/>
      <c r="BL99" s="75">
        <f t="shared" si="117"/>
        <v>0</v>
      </c>
      <c r="BM99" s="75">
        <f t="shared" si="118"/>
        <v>0</v>
      </c>
      <c r="BN99" s="75"/>
      <c r="BO99" s="75">
        <f t="shared" si="146"/>
        <v>0</v>
      </c>
      <c r="BP99" s="75">
        <f t="shared" si="138"/>
        <v>0</v>
      </c>
      <c r="BQ99" s="75"/>
      <c r="BR99" s="75">
        <f t="shared" si="141"/>
        <v>0</v>
      </c>
      <c r="BS99" s="75">
        <f t="shared" si="142"/>
        <v>0</v>
      </c>
      <c r="BT99" s="75">
        <f t="shared" si="143"/>
        <v>0</v>
      </c>
      <c r="BU99" s="75">
        <f t="shared" si="147"/>
        <v>0</v>
      </c>
      <c r="BV99" s="75">
        <f t="shared" si="144"/>
        <v>0</v>
      </c>
      <c r="BW99" s="75">
        <f t="shared" si="145"/>
        <v>0</v>
      </c>
      <c r="BX99" s="75"/>
      <c r="BY99" s="75"/>
      <c r="BZ99" s="75">
        <f t="shared" si="120"/>
        <v>0</v>
      </c>
      <c r="CA99" s="25" t="e">
        <f t="shared" si="121"/>
        <v>#DIV/0!</v>
      </c>
      <c r="CB99" s="75">
        <f t="shared" si="122"/>
        <v>0</v>
      </c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25" t="e">
        <f t="shared" si="123"/>
        <v>#DIV/0!</v>
      </c>
      <c r="CX99" s="75">
        <f t="shared" si="124"/>
        <v>0</v>
      </c>
      <c r="CY99" s="75"/>
      <c r="CZ99" s="75"/>
      <c r="DA99" s="75"/>
      <c r="DB99" s="75">
        <f t="shared" si="125"/>
        <v>0</v>
      </c>
      <c r="DC99" s="75"/>
      <c r="DD99" s="75">
        <f t="shared" si="126"/>
        <v>0</v>
      </c>
      <c r="DE99" s="75">
        <f t="shared" si="127"/>
        <v>0</v>
      </c>
      <c r="DF99" s="75"/>
      <c r="DG99" s="75">
        <f t="shared" si="128"/>
        <v>0</v>
      </c>
      <c r="DH99" s="75">
        <f t="shared" si="129"/>
        <v>0</v>
      </c>
      <c r="DI99" s="75"/>
      <c r="DJ99" s="75">
        <f t="shared" si="130"/>
        <v>0</v>
      </c>
      <c r="DK99" s="75">
        <f t="shared" si="131"/>
        <v>0</v>
      </c>
      <c r="DL99" s="75">
        <f t="shared" si="132"/>
        <v>0</v>
      </c>
      <c r="DM99" s="75">
        <f t="shared" si="133"/>
        <v>0</v>
      </c>
      <c r="DN99" s="75">
        <f t="shared" si="134"/>
        <v>0</v>
      </c>
      <c r="DO99" s="75">
        <f t="shared" si="135"/>
        <v>0</v>
      </c>
      <c r="DP99" s="75">
        <f t="shared" si="136"/>
        <v>0</v>
      </c>
      <c r="DQ99" s="75"/>
      <c r="DR99" s="75">
        <f t="shared" si="137"/>
        <v>0</v>
      </c>
    </row>
    <row r="100" spans="1:122" ht="24" hidden="1" customHeight="1" x14ac:dyDescent="0.3">
      <c r="A100" s="242"/>
      <c r="B100" s="271" t="s">
        <v>219</v>
      </c>
      <c r="C100" s="272" t="s">
        <v>218</v>
      </c>
      <c r="D100" s="272" t="s">
        <v>217</v>
      </c>
      <c r="E100" s="273">
        <v>520</v>
      </c>
      <c r="F100" s="181" t="s">
        <v>214</v>
      </c>
      <c r="G100" s="227">
        <v>361000000</v>
      </c>
      <c r="H100" s="79">
        <f t="shared" si="108"/>
        <v>93970657</v>
      </c>
      <c r="I100" s="79">
        <f t="shared" si="109"/>
        <v>78180550</v>
      </c>
      <c r="J100" s="78"/>
      <c r="K100" s="78"/>
      <c r="L100" s="78"/>
      <c r="M100" s="75">
        <f t="shared" si="110"/>
        <v>172151207</v>
      </c>
      <c r="N100" s="45"/>
      <c r="O100" s="45"/>
      <c r="P100" s="45"/>
      <c r="Q100" s="75">
        <f>80000000-72884540-7115460</f>
        <v>0</v>
      </c>
      <c r="R100" s="75">
        <v>72884540</v>
      </c>
      <c r="S100" s="115">
        <f>170000000-80733333</f>
        <v>89266667</v>
      </c>
      <c r="T100" s="45"/>
      <c r="U100" s="45"/>
      <c r="V100" s="45"/>
      <c r="W100" s="45"/>
      <c r="X100" s="45"/>
      <c r="Y100" s="24"/>
      <c r="Z100" s="45"/>
      <c r="AA100" s="45"/>
      <c r="AB100" s="75">
        <v>10000000</v>
      </c>
      <c r="AC100" s="75"/>
      <c r="AD100" s="75"/>
      <c r="AE100" s="75"/>
      <c r="AF100" s="75"/>
      <c r="AG100" s="75"/>
      <c r="AH100" s="113"/>
      <c r="AI100" s="25">
        <f t="shared" ref="AI100:AI103" si="149">+AJ100/M100</f>
        <v>0.57662486792787926</v>
      </c>
      <c r="AJ100" s="75">
        <f t="shared" si="112"/>
        <v>99266667</v>
      </c>
      <c r="AK100" s="75"/>
      <c r="AL100" s="75"/>
      <c r="AM100" s="75"/>
      <c r="AN100" s="75"/>
      <c r="AO100" s="75"/>
      <c r="AP100" s="75">
        <f>+'[5]FEBRERO 2015'!$N$1309</f>
        <v>89266667</v>
      </c>
      <c r="AQ100" s="75"/>
      <c r="AR100" s="75"/>
      <c r="AS100" s="75"/>
      <c r="AT100" s="75"/>
      <c r="AU100" s="75"/>
      <c r="AV100" s="75"/>
      <c r="AW100" s="75"/>
      <c r="AX100" s="75"/>
      <c r="AY100" s="75">
        <f>+'[5]FEBRERO 2015'!$W$1309</f>
        <v>10000000</v>
      </c>
      <c r="AZ100" s="75"/>
      <c r="BA100" s="75"/>
      <c r="BB100" s="75"/>
      <c r="BC100" s="75"/>
      <c r="BD100" s="75"/>
      <c r="BE100" s="25">
        <f t="shared" si="148"/>
        <v>0.42337513207212074</v>
      </c>
      <c r="BF100" s="75">
        <f t="shared" si="113"/>
        <v>72884540</v>
      </c>
      <c r="BG100" s="75">
        <f t="shared" si="114"/>
        <v>0</v>
      </c>
      <c r="BH100" s="75">
        <f t="shared" si="115"/>
        <v>0</v>
      </c>
      <c r="BI100" s="75"/>
      <c r="BJ100" s="75">
        <f t="shared" si="116"/>
        <v>0</v>
      </c>
      <c r="BK100" s="75">
        <f>R100-AO100</f>
        <v>72884540</v>
      </c>
      <c r="BL100" s="75">
        <f t="shared" si="117"/>
        <v>0</v>
      </c>
      <c r="BM100" s="75">
        <f t="shared" si="118"/>
        <v>0</v>
      </c>
      <c r="BN100" s="75"/>
      <c r="BO100" s="75">
        <f t="shared" si="146"/>
        <v>0</v>
      </c>
      <c r="BP100" s="75">
        <f t="shared" si="138"/>
        <v>0</v>
      </c>
      <c r="BQ100" s="75"/>
      <c r="BR100" s="75">
        <f t="shared" si="141"/>
        <v>0</v>
      </c>
      <c r="BS100" s="75">
        <f t="shared" si="142"/>
        <v>0</v>
      </c>
      <c r="BT100" s="75">
        <f t="shared" si="143"/>
        <v>0</v>
      </c>
      <c r="BU100" s="75">
        <f t="shared" si="147"/>
        <v>0</v>
      </c>
      <c r="BV100" s="75">
        <f t="shared" si="144"/>
        <v>0</v>
      </c>
      <c r="BW100" s="75">
        <f t="shared" si="145"/>
        <v>0</v>
      </c>
      <c r="BX100" s="75"/>
      <c r="BY100" s="75"/>
      <c r="BZ100" s="75">
        <f t="shared" si="120"/>
        <v>0</v>
      </c>
      <c r="CA100" s="25">
        <f t="shared" ref="CA100:CA103" si="150">+CB100/M100</f>
        <v>0.54586115681431147</v>
      </c>
      <c r="CB100" s="75">
        <f t="shared" si="122"/>
        <v>93970657</v>
      </c>
      <c r="CC100" s="75"/>
      <c r="CD100" s="75"/>
      <c r="CE100" s="75"/>
      <c r="CF100" s="75"/>
      <c r="CG100" s="75"/>
      <c r="CH100" s="75">
        <f>+'[1]AGOSTO 2015'!$H$3044+'[1]AGOSTO 2015'!$H$3050</f>
        <v>83970657</v>
      </c>
      <c r="CI100" s="75"/>
      <c r="CJ100" s="75"/>
      <c r="CK100" s="75"/>
      <c r="CL100" s="75"/>
      <c r="CM100" s="75"/>
      <c r="CN100" s="75"/>
      <c r="CO100" s="75"/>
      <c r="CP100" s="75"/>
      <c r="CQ100" s="75">
        <f>+'[6]JUNIO 2015'!$H$2333</f>
        <v>10000000</v>
      </c>
      <c r="CR100" s="75"/>
      <c r="CS100" s="75"/>
      <c r="CT100" s="75"/>
      <c r="CU100" s="75"/>
      <c r="CV100" s="75"/>
      <c r="CW100" s="25">
        <f t="shared" si="123"/>
        <v>0.45413884318568853</v>
      </c>
      <c r="CX100" s="75">
        <f t="shared" si="124"/>
        <v>78180550</v>
      </c>
      <c r="CY100" s="75"/>
      <c r="CZ100" s="75"/>
      <c r="DA100" s="75"/>
      <c r="DB100" s="75">
        <f t="shared" si="125"/>
        <v>0</v>
      </c>
      <c r="DC100" s="75">
        <f>R100-CG100</f>
        <v>72884540</v>
      </c>
      <c r="DD100" s="75">
        <f t="shared" si="126"/>
        <v>5296010</v>
      </c>
      <c r="DE100" s="75">
        <f t="shared" si="127"/>
        <v>0</v>
      </c>
      <c r="DF100" s="75"/>
      <c r="DG100" s="75">
        <f t="shared" si="128"/>
        <v>0</v>
      </c>
      <c r="DH100" s="75">
        <f t="shared" si="129"/>
        <v>0</v>
      </c>
      <c r="DI100" s="75"/>
      <c r="DJ100" s="75">
        <f t="shared" si="130"/>
        <v>0</v>
      </c>
      <c r="DK100" s="75">
        <f t="shared" si="131"/>
        <v>0</v>
      </c>
      <c r="DL100" s="75">
        <f t="shared" si="132"/>
        <v>0</v>
      </c>
      <c r="DM100" s="75">
        <f t="shared" si="133"/>
        <v>0</v>
      </c>
      <c r="DN100" s="75">
        <f t="shared" si="134"/>
        <v>0</v>
      </c>
      <c r="DO100" s="75">
        <f t="shared" si="135"/>
        <v>0</v>
      </c>
      <c r="DP100" s="75">
        <f t="shared" si="136"/>
        <v>0</v>
      </c>
      <c r="DQ100" s="75"/>
      <c r="DR100" s="75">
        <f t="shared" si="137"/>
        <v>0</v>
      </c>
    </row>
    <row r="101" spans="1:122" ht="33.75" hidden="1" customHeight="1" x14ac:dyDescent="0.3">
      <c r="A101" s="242"/>
      <c r="B101" s="271"/>
      <c r="C101" s="272" t="s">
        <v>216</v>
      </c>
      <c r="D101" s="272" t="s">
        <v>215</v>
      </c>
      <c r="E101" s="273">
        <v>520</v>
      </c>
      <c r="F101" s="181" t="s">
        <v>214</v>
      </c>
      <c r="G101" s="228"/>
      <c r="H101" s="79">
        <f t="shared" si="108"/>
        <v>110733333</v>
      </c>
      <c r="I101" s="79">
        <f t="shared" si="109"/>
        <v>0</v>
      </c>
      <c r="J101" s="78"/>
      <c r="K101" s="78"/>
      <c r="L101" s="78"/>
      <c r="M101" s="75">
        <f t="shared" si="110"/>
        <v>110733333</v>
      </c>
      <c r="N101" s="45"/>
      <c r="O101" s="45"/>
      <c r="P101" s="45"/>
      <c r="Q101" s="75">
        <f>70000000-70000000</f>
        <v>0</v>
      </c>
      <c r="R101" s="75"/>
      <c r="S101" s="75">
        <f>30000000+80733333</f>
        <v>110733333</v>
      </c>
      <c r="T101" s="45"/>
      <c r="U101" s="45"/>
      <c r="V101" s="45"/>
      <c r="W101" s="45"/>
      <c r="X101" s="45"/>
      <c r="Y101" s="24"/>
      <c r="Z101" s="45"/>
      <c r="AA101" s="45"/>
      <c r="AB101" s="75"/>
      <c r="AC101" s="75"/>
      <c r="AD101" s="75"/>
      <c r="AE101" s="75"/>
      <c r="AF101" s="75"/>
      <c r="AG101" s="75"/>
      <c r="AH101" s="113"/>
      <c r="AI101" s="25">
        <f t="shared" si="149"/>
        <v>1</v>
      </c>
      <c r="AJ101" s="75">
        <f t="shared" si="112"/>
        <v>110733333</v>
      </c>
      <c r="AK101" s="75"/>
      <c r="AL101" s="75"/>
      <c r="AM101" s="75"/>
      <c r="AN101" s="75">
        <f>+'[4]MARZO 2015'!$L$1529-70000000</f>
        <v>0</v>
      </c>
      <c r="AO101" s="75"/>
      <c r="AP101" s="75">
        <f>+'[4]MARZO 2015'!$N$1529</f>
        <v>110733333</v>
      </c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25">
        <f t="shared" si="148"/>
        <v>0</v>
      </c>
      <c r="BF101" s="75">
        <f t="shared" si="113"/>
        <v>0</v>
      </c>
      <c r="BG101" s="75">
        <f t="shared" si="114"/>
        <v>0</v>
      </c>
      <c r="BH101" s="75">
        <f t="shared" si="115"/>
        <v>0</v>
      </c>
      <c r="BI101" s="75"/>
      <c r="BJ101" s="75">
        <f t="shared" si="116"/>
        <v>0</v>
      </c>
      <c r="BK101" s="75"/>
      <c r="BL101" s="75">
        <f t="shared" si="117"/>
        <v>0</v>
      </c>
      <c r="BM101" s="75">
        <f t="shared" si="118"/>
        <v>0</v>
      </c>
      <c r="BN101" s="75"/>
      <c r="BO101" s="75">
        <f t="shared" si="146"/>
        <v>0</v>
      </c>
      <c r="BP101" s="75">
        <f t="shared" si="138"/>
        <v>0</v>
      </c>
      <c r="BQ101" s="75"/>
      <c r="BR101" s="75">
        <f t="shared" si="141"/>
        <v>0</v>
      </c>
      <c r="BS101" s="75">
        <f t="shared" si="142"/>
        <v>0</v>
      </c>
      <c r="BT101" s="75">
        <f t="shared" si="143"/>
        <v>0</v>
      </c>
      <c r="BU101" s="75">
        <f t="shared" si="147"/>
        <v>0</v>
      </c>
      <c r="BV101" s="75">
        <f t="shared" si="144"/>
        <v>0</v>
      </c>
      <c r="BW101" s="75">
        <f t="shared" si="145"/>
        <v>0</v>
      </c>
      <c r="BX101" s="75"/>
      <c r="BY101" s="75"/>
      <c r="BZ101" s="75">
        <f t="shared" si="120"/>
        <v>0</v>
      </c>
      <c r="CA101" s="25">
        <f t="shared" si="150"/>
        <v>1</v>
      </c>
      <c r="CB101" s="75">
        <f t="shared" si="122"/>
        <v>110733333</v>
      </c>
      <c r="CC101" s="75"/>
      <c r="CD101" s="75"/>
      <c r="CE101" s="75"/>
      <c r="CF101" s="75"/>
      <c r="CG101" s="75"/>
      <c r="CH101" s="75">
        <f>+'[2]JULIO 2015'!$H$2722</f>
        <v>110733333</v>
      </c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25">
        <f t="shared" si="123"/>
        <v>0</v>
      </c>
      <c r="CX101" s="75">
        <f t="shared" si="124"/>
        <v>0</v>
      </c>
      <c r="CY101" s="75"/>
      <c r="CZ101" s="75"/>
      <c r="DA101" s="75"/>
      <c r="DB101" s="75">
        <f t="shared" si="125"/>
        <v>0</v>
      </c>
      <c r="DC101" s="75"/>
      <c r="DD101" s="75">
        <f t="shared" si="126"/>
        <v>0</v>
      </c>
      <c r="DE101" s="75">
        <f t="shared" si="127"/>
        <v>0</v>
      </c>
      <c r="DF101" s="75"/>
      <c r="DG101" s="75">
        <f t="shared" si="128"/>
        <v>0</v>
      </c>
      <c r="DH101" s="75">
        <f t="shared" si="129"/>
        <v>0</v>
      </c>
      <c r="DI101" s="75"/>
      <c r="DJ101" s="75">
        <f t="shared" si="130"/>
        <v>0</v>
      </c>
      <c r="DK101" s="75">
        <f t="shared" si="131"/>
        <v>0</v>
      </c>
      <c r="DL101" s="75">
        <f t="shared" si="132"/>
        <v>0</v>
      </c>
      <c r="DM101" s="75">
        <f t="shared" si="133"/>
        <v>0</v>
      </c>
      <c r="DN101" s="75">
        <f t="shared" si="134"/>
        <v>0</v>
      </c>
      <c r="DO101" s="75">
        <f t="shared" si="135"/>
        <v>0</v>
      </c>
      <c r="DP101" s="75">
        <f t="shared" si="136"/>
        <v>0</v>
      </c>
      <c r="DQ101" s="75"/>
      <c r="DR101" s="75">
        <f t="shared" si="137"/>
        <v>0</v>
      </c>
    </row>
    <row r="102" spans="1:122" ht="45.75" hidden="1" customHeight="1" x14ac:dyDescent="0.3">
      <c r="A102" s="242"/>
      <c r="B102" s="271"/>
      <c r="C102" s="272" t="s">
        <v>213</v>
      </c>
      <c r="D102" s="272" t="s">
        <v>212</v>
      </c>
      <c r="E102" s="273">
        <v>520</v>
      </c>
      <c r="F102" s="181" t="s">
        <v>211</v>
      </c>
      <c r="G102" s="229"/>
      <c r="H102" s="79">
        <f t="shared" si="108"/>
        <v>8000000</v>
      </c>
      <c r="I102" s="79">
        <f t="shared" si="109"/>
        <v>27579091</v>
      </c>
      <c r="J102" s="78"/>
      <c r="K102" s="78"/>
      <c r="L102" s="78"/>
      <c r="M102" s="75">
        <f t="shared" si="110"/>
        <v>35579091</v>
      </c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24"/>
      <c r="Z102" s="45"/>
      <c r="AA102" s="45"/>
      <c r="AB102" s="75"/>
      <c r="AC102" s="75"/>
      <c r="AD102" s="75"/>
      <c r="AE102" s="75"/>
      <c r="AF102" s="75"/>
      <c r="AG102" s="75">
        <f>3000000+8000000+20123209+4455882</f>
        <v>35579091</v>
      </c>
      <c r="AH102" s="113"/>
      <c r="AI102" s="25">
        <f t="shared" si="149"/>
        <v>0.77514883671423762</v>
      </c>
      <c r="AJ102" s="75">
        <f t="shared" si="112"/>
        <v>27579091</v>
      </c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>
        <f>+'[2]JULIO 2015'!$AD$2743</f>
        <v>27579091</v>
      </c>
      <c r="BE102" s="25">
        <f t="shared" si="148"/>
        <v>0.22485116328576238</v>
      </c>
      <c r="BF102" s="75">
        <f t="shared" si="113"/>
        <v>8000000</v>
      </c>
      <c r="BG102" s="75">
        <f t="shared" si="114"/>
        <v>0</v>
      </c>
      <c r="BH102" s="75">
        <f t="shared" si="115"/>
        <v>0</v>
      </c>
      <c r="BI102" s="75"/>
      <c r="BJ102" s="75">
        <f t="shared" si="116"/>
        <v>0</v>
      </c>
      <c r="BK102" s="75"/>
      <c r="BL102" s="75">
        <f t="shared" si="117"/>
        <v>0</v>
      </c>
      <c r="BM102" s="75">
        <f t="shared" si="118"/>
        <v>0</v>
      </c>
      <c r="BN102" s="75"/>
      <c r="BO102" s="75">
        <f t="shared" si="146"/>
        <v>0</v>
      </c>
      <c r="BP102" s="75">
        <f t="shared" si="138"/>
        <v>0</v>
      </c>
      <c r="BQ102" s="75"/>
      <c r="BR102" s="75">
        <f t="shared" si="141"/>
        <v>0</v>
      </c>
      <c r="BS102" s="75">
        <f t="shared" si="142"/>
        <v>0</v>
      </c>
      <c r="BT102" s="75">
        <f t="shared" si="143"/>
        <v>0</v>
      </c>
      <c r="BU102" s="75">
        <f t="shared" si="147"/>
        <v>0</v>
      </c>
      <c r="BV102" s="75">
        <f t="shared" si="144"/>
        <v>0</v>
      </c>
      <c r="BW102" s="75">
        <f t="shared" si="145"/>
        <v>0</v>
      </c>
      <c r="BX102" s="75"/>
      <c r="BY102" s="75"/>
      <c r="BZ102" s="75">
        <f t="shared" si="120"/>
        <v>8000000</v>
      </c>
      <c r="CA102" s="25">
        <f t="shared" si="150"/>
        <v>0.22485116328576241</v>
      </c>
      <c r="CB102" s="75">
        <f t="shared" si="122"/>
        <v>8000000</v>
      </c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>
        <f>+'[3]ABRIL 2015'!$H$1822</f>
        <v>8000000</v>
      </c>
      <c r="CW102" s="25">
        <f t="shared" si="123"/>
        <v>0.77514883671423762</v>
      </c>
      <c r="CX102" s="75">
        <f t="shared" si="124"/>
        <v>27579091</v>
      </c>
      <c r="CY102" s="75"/>
      <c r="CZ102" s="75"/>
      <c r="DA102" s="75"/>
      <c r="DB102" s="75">
        <f t="shared" si="125"/>
        <v>0</v>
      </c>
      <c r="DC102" s="75"/>
      <c r="DD102" s="75">
        <f t="shared" si="126"/>
        <v>0</v>
      </c>
      <c r="DE102" s="75">
        <f t="shared" si="127"/>
        <v>0</v>
      </c>
      <c r="DF102" s="75"/>
      <c r="DG102" s="75">
        <f t="shared" si="128"/>
        <v>0</v>
      </c>
      <c r="DH102" s="75">
        <f t="shared" si="129"/>
        <v>0</v>
      </c>
      <c r="DI102" s="75"/>
      <c r="DJ102" s="75">
        <f t="shared" si="130"/>
        <v>0</v>
      </c>
      <c r="DK102" s="75">
        <f t="shared" si="131"/>
        <v>0</v>
      </c>
      <c r="DL102" s="75">
        <f t="shared" si="132"/>
        <v>0</v>
      </c>
      <c r="DM102" s="75">
        <f t="shared" si="133"/>
        <v>0</v>
      </c>
      <c r="DN102" s="75">
        <f t="shared" si="134"/>
        <v>0</v>
      </c>
      <c r="DO102" s="75">
        <f t="shared" si="135"/>
        <v>0</v>
      </c>
      <c r="DP102" s="75">
        <f t="shared" si="136"/>
        <v>0</v>
      </c>
      <c r="DQ102" s="75"/>
      <c r="DR102" s="75">
        <f t="shared" si="137"/>
        <v>27579091</v>
      </c>
    </row>
    <row r="103" spans="1:122" s="68" customFormat="1" ht="21" customHeight="1" thickTop="1" thickBot="1" x14ac:dyDescent="0.3">
      <c r="A103" s="112"/>
      <c r="B103" s="276" t="s">
        <v>568</v>
      </c>
      <c r="C103" s="277"/>
      <c r="D103" s="277"/>
      <c r="E103" s="278"/>
      <c r="F103" s="181"/>
      <c r="G103" s="69">
        <f>SUM(G68:G102)</f>
        <v>2832000000</v>
      </c>
      <c r="H103" s="69">
        <f>SUM(H68:H102)</f>
        <v>1638726933</v>
      </c>
      <c r="I103" s="69">
        <f>SUM(I68:I102)</f>
        <v>1319780820</v>
      </c>
      <c r="J103" s="111"/>
      <c r="K103" s="111"/>
      <c r="L103" s="111"/>
      <c r="M103" s="69">
        <f t="shared" ref="M103:AG103" si="151">SUM(M68:M102)</f>
        <v>2958507753</v>
      </c>
      <c r="N103" s="69">
        <f t="shared" si="151"/>
        <v>0</v>
      </c>
      <c r="O103" s="69">
        <f t="shared" si="151"/>
        <v>0</v>
      </c>
      <c r="P103" s="69">
        <f t="shared" si="151"/>
        <v>0</v>
      </c>
      <c r="Q103" s="69">
        <f t="shared" si="151"/>
        <v>50000000</v>
      </c>
      <c r="R103" s="69">
        <f t="shared" si="151"/>
        <v>72884540</v>
      </c>
      <c r="S103" s="69">
        <f t="shared" si="151"/>
        <v>660000000</v>
      </c>
      <c r="T103" s="69">
        <f t="shared" si="151"/>
        <v>923014856</v>
      </c>
      <c r="U103" s="69">
        <f t="shared" si="151"/>
        <v>0</v>
      </c>
      <c r="V103" s="69">
        <f t="shared" si="151"/>
        <v>0</v>
      </c>
      <c r="W103" s="69">
        <f t="shared" si="151"/>
        <v>0</v>
      </c>
      <c r="X103" s="69">
        <f t="shared" si="151"/>
        <v>0</v>
      </c>
      <c r="Y103" s="69">
        <f t="shared" si="151"/>
        <v>0</v>
      </c>
      <c r="Z103" s="69">
        <f t="shared" si="151"/>
        <v>610864435</v>
      </c>
      <c r="AA103" s="69">
        <f t="shared" si="151"/>
        <v>0</v>
      </c>
      <c r="AB103" s="69">
        <f t="shared" si="151"/>
        <v>50000000</v>
      </c>
      <c r="AC103" s="69">
        <f t="shared" si="151"/>
        <v>0</v>
      </c>
      <c r="AD103" s="69">
        <f t="shared" si="151"/>
        <v>0</v>
      </c>
      <c r="AE103" s="69">
        <f t="shared" si="151"/>
        <v>0</v>
      </c>
      <c r="AF103" s="69">
        <f t="shared" si="151"/>
        <v>0</v>
      </c>
      <c r="AG103" s="69">
        <f t="shared" si="151"/>
        <v>591743922</v>
      </c>
      <c r="AI103" s="70">
        <f t="shared" si="149"/>
        <v>0.81371961271990623</v>
      </c>
      <c r="AJ103" s="69">
        <f>SUM(AJ68:AJ102)</f>
        <v>2407395783</v>
      </c>
      <c r="AK103" s="69">
        <f>SUM(AK68:AK102)</f>
        <v>0</v>
      </c>
      <c r="AL103" s="69">
        <f>SUM(AL68:AL102)</f>
        <v>0</v>
      </c>
      <c r="AM103" s="69"/>
      <c r="AN103" s="69">
        <f>SUM(AN68:AN102)</f>
        <v>50000000</v>
      </c>
      <c r="AO103" s="69"/>
      <c r="AP103" s="69">
        <f t="shared" ref="AP103:BD103" si="152">SUM(AP68:AP102)</f>
        <v>649180877</v>
      </c>
      <c r="AQ103" s="69">
        <f t="shared" si="152"/>
        <v>898014856</v>
      </c>
      <c r="AR103" s="69">
        <f t="shared" si="152"/>
        <v>0</v>
      </c>
      <c r="AS103" s="69">
        <f t="shared" si="152"/>
        <v>0</v>
      </c>
      <c r="AT103" s="69">
        <f t="shared" si="152"/>
        <v>0</v>
      </c>
      <c r="AU103" s="69">
        <f t="shared" si="152"/>
        <v>0</v>
      </c>
      <c r="AV103" s="69">
        <f t="shared" si="152"/>
        <v>0</v>
      </c>
      <c r="AW103" s="69">
        <f t="shared" si="152"/>
        <v>221128226</v>
      </c>
      <c r="AX103" s="69">
        <f t="shared" si="152"/>
        <v>0</v>
      </c>
      <c r="AY103" s="69">
        <f t="shared" si="152"/>
        <v>50000000</v>
      </c>
      <c r="AZ103" s="69">
        <f t="shared" si="152"/>
        <v>0</v>
      </c>
      <c r="BA103" s="69">
        <f t="shared" si="152"/>
        <v>0</v>
      </c>
      <c r="BB103" s="69">
        <f t="shared" si="152"/>
        <v>0</v>
      </c>
      <c r="BC103" s="69">
        <f t="shared" si="152"/>
        <v>0</v>
      </c>
      <c r="BD103" s="69">
        <f t="shared" si="152"/>
        <v>539071824</v>
      </c>
      <c r="BE103" s="70">
        <f t="shared" si="148"/>
        <v>0.18628038728009377</v>
      </c>
      <c r="BF103" s="69">
        <f t="shared" ref="BF103:BZ103" si="153">SUM(BF68:BF102)</f>
        <v>551111970</v>
      </c>
      <c r="BG103" s="69">
        <f t="shared" si="153"/>
        <v>0</v>
      </c>
      <c r="BH103" s="69">
        <f t="shared" si="153"/>
        <v>0</v>
      </c>
      <c r="BI103" s="69">
        <f t="shared" si="153"/>
        <v>0</v>
      </c>
      <c r="BJ103" s="69">
        <f t="shared" si="153"/>
        <v>0</v>
      </c>
      <c r="BK103" s="69">
        <f t="shared" si="153"/>
        <v>72884540</v>
      </c>
      <c r="BL103" s="69">
        <f t="shared" si="153"/>
        <v>10819123</v>
      </c>
      <c r="BM103" s="69">
        <f t="shared" si="153"/>
        <v>25000000</v>
      </c>
      <c r="BN103" s="69">
        <f t="shared" si="153"/>
        <v>0</v>
      </c>
      <c r="BO103" s="69">
        <f t="shared" si="153"/>
        <v>0</v>
      </c>
      <c r="BP103" s="69">
        <f t="shared" si="153"/>
        <v>0</v>
      </c>
      <c r="BQ103" s="69">
        <f t="shared" si="153"/>
        <v>0</v>
      </c>
      <c r="BR103" s="69">
        <f t="shared" si="153"/>
        <v>0</v>
      </c>
      <c r="BS103" s="69">
        <f t="shared" si="153"/>
        <v>389736209</v>
      </c>
      <c r="BT103" s="69">
        <f t="shared" si="153"/>
        <v>0</v>
      </c>
      <c r="BU103" s="69">
        <f t="shared" si="153"/>
        <v>0</v>
      </c>
      <c r="BV103" s="69">
        <f t="shared" si="153"/>
        <v>0</v>
      </c>
      <c r="BW103" s="69">
        <f t="shared" si="153"/>
        <v>0</v>
      </c>
      <c r="BX103" s="69">
        <f t="shared" si="153"/>
        <v>0</v>
      </c>
      <c r="BY103" s="69">
        <f t="shared" si="153"/>
        <v>0</v>
      </c>
      <c r="BZ103" s="69">
        <f t="shared" si="153"/>
        <v>52672098</v>
      </c>
      <c r="CA103" s="70">
        <f t="shared" si="150"/>
        <v>0.55390320722948605</v>
      </c>
      <c r="CB103" s="69">
        <f>SUM(CB68:CB102)</f>
        <v>1638726933</v>
      </c>
      <c r="CC103" s="69">
        <f>SUM(CC68:CC102)</f>
        <v>0</v>
      </c>
      <c r="CD103" s="69">
        <f>SUM(CD68:CD102)</f>
        <v>0</v>
      </c>
      <c r="CE103" s="69"/>
      <c r="CF103" s="69">
        <f>SUM(CF68:CF102)</f>
        <v>40000000</v>
      </c>
      <c r="CG103" s="69"/>
      <c r="CH103" s="69">
        <f>SUM(CH68:CH102)</f>
        <v>478813038</v>
      </c>
      <c r="CI103" s="69">
        <f>SUM(CI68:CI102)</f>
        <v>545087024</v>
      </c>
      <c r="CJ103" s="69"/>
      <c r="CK103" s="69">
        <f t="shared" ref="CK103:CV103" si="154">SUM(CK68:CK102)</f>
        <v>0</v>
      </c>
      <c r="CL103" s="69">
        <f t="shared" si="154"/>
        <v>0</v>
      </c>
      <c r="CM103" s="69">
        <f t="shared" si="154"/>
        <v>0</v>
      </c>
      <c r="CN103" s="69">
        <f t="shared" si="154"/>
        <v>0</v>
      </c>
      <c r="CO103" s="69">
        <f t="shared" si="154"/>
        <v>104600638</v>
      </c>
      <c r="CP103" s="69">
        <f t="shared" si="154"/>
        <v>0</v>
      </c>
      <c r="CQ103" s="69">
        <f t="shared" si="154"/>
        <v>23814210</v>
      </c>
      <c r="CR103" s="69">
        <f t="shared" si="154"/>
        <v>0</v>
      </c>
      <c r="CS103" s="69">
        <f t="shared" si="154"/>
        <v>0</v>
      </c>
      <c r="CT103" s="69">
        <f t="shared" si="154"/>
        <v>0</v>
      </c>
      <c r="CU103" s="69">
        <f t="shared" si="154"/>
        <v>0</v>
      </c>
      <c r="CV103" s="69">
        <f t="shared" si="154"/>
        <v>446412023</v>
      </c>
      <c r="CW103" s="70">
        <f t="shared" si="123"/>
        <v>0.44609679277051395</v>
      </c>
      <c r="CX103" s="69">
        <f>SUM(CX68:CX102)</f>
        <v>1319780820</v>
      </c>
      <c r="CY103" s="69">
        <f>SUM(CY68:CY102)</f>
        <v>0</v>
      </c>
      <c r="CZ103" s="69">
        <f>SUM(CZ68:CZ102)</f>
        <v>0</v>
      </c>
      <c r="DA103" s="69"/>
      <c r="DB103" s="69">
        <f t="shared" ref="DB103:DR103" si="155">SUM(DB68:DB102)</f>
        <v>10000000</v>
      </c>
      <c r="DC103" s="69">
        <f t="shared" si="155"/>
        <v>72884540</v>
      </c>
      <c r="DD103" s="69">
        <f t="shared" si="155"/>
        <v>181186962</v>
      </c>
      <c r="DE103" s="69">
        <f t="shared" si="155"/>
        <v>377927832</v>
      </c>
      <c r="DF103" s="69">
        <f t="shared" si="155"/>
        <v>0</v>
      </c>
      <c r="DG103" s="69">
        <f t="shared" si="155"/>
        <v>0</v>
      </c>
      <c r="DH103" s="69">
        <f t="shared" si="155"/>
        <v>0</v>
      </c>
      <c r="DI103" s="69">
        <f t="shared" si="155"/>
        <v>0</v>
      </c>
      <c r="DJ103" s="69">
        <f t="shared" si="155"/>
        <v>0</v>
      </c>
      <c r="DK103" s="69">
        <f t="shared" si="155"/>
        <v>506263797</v>
      </c>
      <c r="DL103" s="69">
        <f t="shared" si="155"/>
        <v>0</v>
      </c>
      <c r="DM103" s="69">
        <f t="shared" si="155"/>
        <v>26185790</v>
      </c>
      <c r="DN103" s="69">
        <f t="shared" si="155"/>
        <v>0</v>
      </c>
      <c r="DO103" s="69">
        <f t="shared" si="155"/>
        <v>0</v>
      </c>
      <c r="DP103" s="69">
        <f t="shared" si="155"/>
        <v>0</v>
      </c>
      <c r="DQ103" s="69">
        <f t="shared" si="155"/>
        <v>0</v>
      </c>
      <c r="DR103" s="110">
        <f t="shared" si="155"/>
        <v>145331899</v>
      </c>
    </row>
    <row r="104" spans="1:122" ht="10.5" hidden="1" customHeight="1" thickTop="1" x14ac:dyDescent="0.3">
      <c r="B104" s="271"/>
      <c r="C104" s="272"/>
      <c r="D104" s="272"/>
      <c r="E104" s="273"/>
      <c r="F104" s="181"/>
      <c r="G104" s="105"/>
      <c r="H104" s="105"/>
      <c r="I104" s="105"/>
      <c r="J104" s="105"/>
      <c r="K104" s="105"/>
      <c r="L104" s="105"/>
      <c r="M104" s="104"/>
      <c r="N104" s="104"/>
      <c r="O104" s="104"/>
      <c r="P104" s="104"/>
      <c r="Q104" s="104"/>
      <c r="R104" s="104"/>
      <c r="S104" s="103"/>
      <c r="T104" s="103"/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89"/>
      <c r="AI104" s="102"/>
      <c r="AJ104" s="99"/>
      <c r="AK104" s="99"/>
      <c r="AL104" s="99"/>
      <c r="AM104" s="99"/>
      <c r="AN104" s="99"/>
      <c r="AO104" s="99"/>
      <c r="AP104" s="101"/>
      <c r="AQ104" s="101"/>
      <c r="AR104" s="101"/>
      <c r="AS104" s="101"/>
      <c r="AT104" s="101"/>
      <c r="AU104" s="101"/>
      <c r="AV104" s="101"/>
      <c r="AW104" s="101"/>
      <c r="AX104" s="101"/>
      <c r="AY104" s="101"/>
      <c r="AZ104" s="101"/>
      <c r="BA104" s="101"/>
      <c r="BB104" s="101"/>
      <c r="BC104" s="101"/>
      <c r="BD104" s="101"/>
      <c r="BE104" s="100"/>
      <c r="BF104" s="99"/>
      <c r="BG104" s="99"/>
      <c r="BH104" s="99"/>
      <c r="BI104" s="99"/>
      <c r="BJ104" s="99"/>
      <c r="BK104" s="99"/>
      <c r="BL104" s="98"/>
      <c r="BM104" s="98"/>
      <c r="BN104" s="98"/>
      <c r="BO104" s="98"/>
      <c r="BP104" s="98"/>
      <c r="BQ104" s="98"/>
      <c r="BR104" s="98"/>
      <c r="BS104" s="98"/>
      <c r="BT104" s="98"/>
      <c r="BU104" s="98"/>
      <c r="BV104" s="98"/>
      <c r="BW104" s="98"/>
      <c r="BX104" s="98"/>
      <c r="BY104" s="98"/>
      <c r="BZ104" s="98"/>
      <c r="CA104" s="100"/>
      <c r="CB104" s="99"/>
      <c r="CC104" s="99"/>
      <c r="CD104" s="99"/>
      <c r="CE104" s="99"/>
      <c r="CF104" s="99"/>
      <c r="CG104" s="99"/>
      <c r="CH104" s="101"/>
      <c r="CI104" s="101"/>
      <c r="CJ104" s="101"/>
      <c r="CK104" s="101"/>
      <c r="CL104" s="101"/>
      <c r="CM104" s="101"/>
      <c r="CN104" s="101"/>
      <c r="CO104" s="101"/>
      <c r="CP104" s="101"/>
      <c r="CQ104" s="101"/>
      <c r="CR104" s="101"/>
      <c r="CS104" s="101"/>
      <c r="CT104" s="101"/>
      <c r="CU104" s="101"/>
      <c r="CV104" s="101"/>
      <c r="CW104" s="100"/>
      <c r="CX104" s="99"/>
      <c r="CY104" s="99"/>
      <c r="CZ104" s="99"/>
      <c r="DA104" s="99"/>
      <c r="DB104" s="99"/>
      <c r="DC104" s="99"/>
      <c r="DD104" s="98"/>
      <c r="DE104" s="98"/>
      <c r="DF104" s="98"/>
      <c r="DG104" s="98"/>
      <c r="DH104" s="98"/>
      <c r="DI104" s="98"/>
      <c r="DJ104" s="98"/>
      <c r="DK104" s="98"/>
      <c r="DL104" s="98"/>
      <c r="DM104" s="98"/>
      <c r="DN104" s="98"/>
      <c r="DO104" s="98"/>
      <c r="DP104" s="98"/>
      <c r="DQ104" s="98"/>
      <c r="DR104" s="98"/>
    </row>
    <row r="105" spans="1:122" s="68" customFormat="1" ht="27.75" hidden="1" customHeight="1" x14ac:dyDescent="0.3">
      <c r="A105" s="258" t="s">
        <v>2</v>
      </c>
      <c r="B105" s="271" t="s">
        <v>209</v>
      </c>
      <c r="C105" s="272" t="s">
        <v>208</v>
      </c>
      <c r="D105" s="272" t="s">
        <v>207</v>
      </c>
      <c r="E105" s="273">
        <v>301</v>
      </c>
      <c r="F105" s="181" t="s">
        <v>166</v>
      </c>
      <c r="G105" s="227">
        <v>325000000</v>
      </c>
      <c r="H105" s="79">
        <f t="shared" ref="H105:H120" si="156">+CB105</f>
        <v>34078248</v>
      </c>
      <c r="I105" s="79">
        <f t="shared" ref="I105:I120" si="157">M105-H105</f>
        <v>41921752</v>
      </c>
      <c r="J105" s="78"/>
      <c r="K105" s="78"/>
      <c r="L105" s="78"/>
      <c r="M105" s="75">
        <f t="shared" ref="M105:M120" si="158">SUM(N105:AG105)</f>
        <v>76000000</v>
      </c>
      <c r="N105" s="75"/>
      <c r="O105" s="75">
        <f>6985144-6985144</f>
        <v>0</v>
      </c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>
        <v>6985144</v>
      </c>
      <c r="AD105" s="75">
        <v>69014856</v>
      </c>
      <c r="AE105" s="75"/>
      <c r="AF105" s="75"/>
      <c r="AG105" s="75"/>
      <c r="AI105" s="25">
        <f t="shared" ref="AI105:AI136" si="159">+AJ105/M105</f>
        <v>0.90809021052631578</v>
      </c>
      <c r="AJ105" s="75">
        <f t="shared" ref="AJ105:AJ120" si="160">SUM(AK105:BD105)</f>
        <v>69014856</v>
      </c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>
        <f>+'[9]ENERO 2015'!$W$295</f>
        <v>69014856</v>
      </c>
      <c r="BB105" s="75"/>
      <c r="BC105" s="75"/>
      <c r="BD105" s="75"/>
      <c r="BE105" s="25">
        <f t="shared" ref="BE105:BE136" si="161">1-AI105</f>
        <v>9.1909789473684222E-2</v>
      </c>
      <c r="BF105" s="75">
        <f t="shared" ref="BF105:BF120" si="162">SUM(BG105:BZ105)</f>
        <v>6985144</v>
      </c>
      <c r="BG105" s="75">
        <f t="shared" ref="BG105:BG112" si="163">+N105-AK105</f>
        <v>0</v>
      </c>
      <c r="BH105" s="75">
        <f t="shared" ref="BH105:BH112" si="164">O105-AL105</f>
        <v>0</v>
      </c>
      <c r="BI105" s="75"/>
      <c r="BJ105" s="75">
        <f t="shared" ref="BJ105:BJ112" si="165">Q105-AN105</f>
        <v>0</v>
      </c>
      <c r="BK105" s="75"/>
      <c r="BL105" s="75">
        <f t="shared" ref="BL105:BM110" si="166">+S105-AP105</f>
        <v>0</v>
      </c>
      <c r="BM105" s="75">
        <f t="shared" si="166"/>
        <v>0</v>
      </c>
      <c r="BN105" s="75"/>
      <c r="BO105" s="75"/>
      <c r="BP105" s="75"/>
      <c r="BQ105" s="75"/>
      <c r="BR105" s="75">
        <f t="shared" ref="BR105:BW110" si="167">+Y105-AV105</f>
        <v>0</v>
      </c>
      <c r="BS105" s="75">
        <f t="shared" si="167"/>
        <v>0</v>
      </c>
      <c r="BT105" s="75">
        <f t="shared" si="167"/>
        <v>0</v>
      </c>
      <c r="BU105" s="75">
        <f t="shared" si="167"/>
        <v>0</v>
      </c>
      <c r="BV105" s="75">
        <f t="shared" si="167"/>
        <v>6985144</v>
      </c>
      <c r="BW105" s="75">
        <f t="shared" si="167"/>
        <v>0</v>
      </c>
      <c r="BX105" s="75"/>
      <c r="BY105" s="75"/>
      <c r="BZ105" s="75">
        <f t="shared" ref="BZ105:BZ112" si="168">+AG105-BD105</f>
        <v>0</v>
      </c>
      <c r="CA105" s="25">
        <f t="shared" ref="CA105:CA136" si="169">+CB105/M105</f>
        <v>0.44839800000000002</v>
      </c>
      <c r="CB105" s="75">
        <f t="shared" ref="CB105:CB120" si="170">SUM(CC105:CV105)</f>
        <v>34078248</v>
      </c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>
        <f>+'[1]AGOSTO 2015'!$H$820</f>
        <v>34078248</v>
      </c>
      <c r="CT105" s="75"/>
      <c r="CU105" s="75"/>
      <c r="CV105" s="75"/>
      <c r="CW105" s="25">
        <f t="shared" ref="CW105:CW136" si="171">1-CA105</f>
        <v>0.55160199999999993</v>
      </c>
      <c r="CX105" s="75">
        <f t="shared" ref="CX105:CX120" si="172">SUM(CY105:DR105)</f>
        <v>41921752</v>
      </c>
      <c r="CY105" s="75">
        <f>N105-CC105</f>
        <v>0</v>
      </c>
      <c r="CZ105" s="75">
        <f>O105-CD105</f>
        <v>0</v>
      </c>
      <c r="DA105" s="75">
        <f>P105-CE105</f>
        <v>0</v>
      </c>
      <c r="DB105" s="75">
        <f>Q105-CF105</f>
        <v>0</v>
      </c>
      <c r="DC105" s="75"/>
      <c r="DD105" s="75">
        <f t="shared" ref="DD105:DE110" si="173">S105-CH105</f>
        <v>0</v>
      </c>
      <c r="DE105" s="75">
        <f t="shared" si="173"/>
        <v>0</v>
      </c>
      <c r="DF105" s="75"/>
      <c r="DG105" s="75">
        <f t="shared" ref="DG105:DH110" si="174">+V105-CK105</f>
        <v>0</v>
      </c>
      <c r="DH105" s="75">
        <f t="shared" si="174"/>
        <v>0</v>
      </c>
      <c r="DI105" s="75"/>
      <c r="DJ105" s="75">
        <f t="shared" ref="DJ105:DL110" si="175">Y105-CN105</f>
        <v>0</v>
      </c>
      <c r="DK105" s="75">
        <f t="shared" si="175"/>
        <v>0</v>
      </c>
      <c r="DL105" s="75">
        <f t="shared" si="175"/>
        <v>0</v>
      </c>
      <c r="DM105" s="75">
        <f t="shared" ref="DM105:DP110" si="176">+AB105-CQ105</f>
        <v>0</v>
      </c>
      <c r="DN105" s="75">
        <f t="shared" si="176"/>
        <v>6985144</v>
      </c>
      <c r="DO105" s="75">
        <f t="shared" si="176"/>
        <v>34936608</v>
      </c>
      <c r="DP105" s="75">
        <f t="shared" si="176"/>
        <v>0</v>
      </c>
      <c r="DQ105" s="75"/>
      <c r="DR105" s="75">
        <f t="shared" ref="DR105:DR112" si="177">+AG105-CV105</f>
        <v>0</v>
      </c>
    </row>
    <row r="106" spans="1:122" s="68" customFormat="1" ht="22.5" hidden="1" customHeight="1" x14ac:dyDescent="0.3">
      <c r="A106" s="258"/>
      <c r="B106" s="271"/>
      <c r="C106" s="272" t="s">
        <v>206</v>
      </c>
      <c r="D106" s="272" t="s">
        <v>205</v>
      </c>
      <c r="E106" s="273">
        <v>301</v>
      </c>
      <c r="F106" s="181" t="s">
        <v>166</v>
      </c>
      <c r="G106" s="228"/>
      <c r="H106" s="79">
        <f t="shared" si="156"/>
        <v>31238612</v>
      </c>
      <c r="I106" s="79">
        <f t="shared" si="157"/>
        <v>23761388</v>
      </c>
      <c r="J106" s="78"/>
      <c r="K106" s="78"/>
      <c r="L106" s="78"/>
      <c r="M106" s="75">
        <f t="shared" si="158"/>
        <v>55000000</v>
      </c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>
        <v>55000000</v>
      </c>
      <c r="AE106" s="75"/>
      <c r="AF106" s="75"/>
      <c r="AG106" s="75"/>
      <c r="AI106" s="25">
        <f t="shared" si="159"/>
        <v>1</v>
      </c>
      <c r="AJ106" s="75">
        <f t="shared" si="160"/>
        <v>55000000</v>
      </c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>
        <f>+'[9]ENERO 2015'!$W$301</f>
        <v>55000000</v>
      </c>
      <c r="BB106" s="75"/>
      <c r="BC106" s="75"/>
      <c r="BD106" s="75"/>
      <c r="BE106" s="25">
        <f t="shared" si="161"/>
        <v>0</v>
      </c>
      <c r="BF106" s="75">
        <f t="shared" si="162"/>
        <v>0</v>
      </c>
      <c r="BG106" s="75">
        <f t="shared" si="163"/>
        <v>0</v>
      </c>
      <c r="BH106" s="75">
        <f t="shared" si="164"/>
        <v>0</v>
      </c>
      <c r="BI106" s="75"/>
      <c r="BJ106" s="75">
        <f t="shared" si="165"/>
        <v>0</v>
      </c>
      <c r="BK106" s="75"/>
      <c r="BL106" s="75">
        <f t="shared" si="166"/>
        <v>0</v>
      </c>
      <c r="BM106" s="75">
        <f t="shared" si="166"/>
        <v>0</v>
      </c>
      <c r="BN106" s="75"/>
      <c r="BO106" s="75"/>
      <c r="BP106" s="75"/>
      <c r="BQ106" s="75"/>
      <c r="BR106" s="75">
        <f t="shared" si="167"/>
        <v>0</v>
      </c>
      <c r="BS106" s="75">
        <f t="shared" si="167"/>
        <v>0</v>
      </c>
      <c r="BT106" s="75">
        <f t="shared" si="167"/>
        <v>0</v>
      </c>
      <c r="BU106" s="75">
        <f t="shared" si="167"/>
        <v>0</v>
      </c>
      <c r="BV106" s="75">
        <f t="shared" si="167"/>
        <v>0</v>
      </c>
      <c r="BW106" s="75">
        <f t="shared" si="167"/>
        <v>0</v>
      </c>
      <c r="BX106" s="75"/>
      <c r="BY106" s="75"/>
      <c r="BZ106" s="75">
        <f t="shared" si="168"/>
        <v>0</v>
      </c>
      <c r="CA106" s="25">
        <f t="shared" si="169"/>
        <v>0.56797476363636368</v>
      </c>
      <c r="CB106" s="75">
        <f t="shared" si="170"/>
        <v>31238612</v>
      </c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>
        <f>+'[1]AGOSTO 2015'!$H$838</f>
        <v>31238612</v>
      </c>
      <c r="CT106" s="75"/>
      <c r="CU106" s="75"/>
      <c r="CV106" s="75"/>
      <c r="CW106" s="25">
        <f t="shared" si="171"/>
        <v>0.43202523636363632</v>
      </c>
      <c r="CX106" s="75">
        <f t="shared" si="172"/>
        <v>23761388</v>
      </c>
      <c r="CY106" s="75">
        <f t="shared" ref="CY106:CY112" si="178">N106-CC106</f>
        <v>0</v>
      </c>
      <c r="CZ106" s="75"/>
      <c r="DA106" s="75"/>
      <c r="DB106" s="75">
        <f>Q106-CF106</f>
        <v>0</v>
      </c>
      <c r="DC106" s="75"/>
      <c r="DD106" s="75">
        <f t="shared" si="173"/>
        <v>0</v>
      </c>
      <c r="DE106" s="75">
        <f t="shared" si="173"/>
        <v>0</v>
      </c>
      <c r="DF106" s="75"/>
      <c r="DG106" s="75">
        <f t="shared" si="174"/>
        <v>0</v>
      </c>
      <c r="DH106" s="75">
        <f t="shared" si="174"/>
        <v>0</v>
      </c>
      <c r="DI106" s="75"/>
      <c r="DJ106" s="75">
        <f t="shared" si="175"/>
        <v>0</v>
      </c>
      <c r="DK106" s="75">
        <f t="shared" si="175"/>
        <v>0</v>
      </c>
      <c r="DL106" s="75">
        <f t="shared" si="175"/>
        <v>0</v>
      </c>
      <c r="DM106" s="75">
        <f t="shared" si="176"/>
        <v>0</v>
      </c>
      <c r="DN106" s="75">
        <f t="shared" si="176"/>
        <v>0</v>
      </c>
      <c r="DO106" s="75">
        <f t="shared" si="176"/>
        <v>23761388</v>
      </c>
      <c r="DP106" s="75">
        <f t="shared" si="176"/>
        <v>0</v>
      </c>
      <c r="DQ106" s="75"/>
      <c r="DR106" s="75">
        <f t="shared" si="177"/>
        <v>0</v>
      </c>
    </row>
    <row r="107" spans="1:122" s="68" customFormat="1" ht="23.25" hidden="1" customHeight="1" x14ac:dyDescent="0.3">
      <c r="A107" s="258"/>
      <c r="B107" s="271"/>
      <c r="C107" s="272" t="s">
        <v>204</v>
      </c>
      <c r="D107" s="272" t="s">
        <v>203</v>
      </c>
      <c r="E107" s="273">
        <v>301</v>
      </c>
      <c r="F107" s="181" t="s">
        <v>166</v>
      </c>
      <c r="G107" s="228"/>
      <c r="H107" s="79">
        <f t="shared" si="156"/>
        <v>55832905</v>
      </c>
      <c r="I107" s="79">
        <f t="shared" si="157"/>
        <v>4167095</v>
      </c>
      <c r="J107" s="78"/>
      <c r="K107" s="78"/>
      <c r="L107" s="78"/>
      <c r="M107" s="75">
        <f t="shared" si="158"/>
        <v>60000000</v>
      </c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>
        <v>60000000</v>
      </c>
      <c r="AE107" s="75"/>
      <c r="AF107" s="75"/>
      <c r="AG107" s="75"/>
      <c r="AI107" s="25">
        <f t="shared" si="159"/>
        <v>1</v>
      </c>
      <c r="AJ107" s="75">
        <f t="shared" si="160"/>
        <v>60000000</v>
      </c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>
        <f>+'[9]ENERO 2015'!$G$305</f>
        <v>60000000</v>
      </c>
      <c r="BB107" s="75"/>
      <c r="BC107" s="75"/>
      <c r="BD107" s="75"/>
      <c r="BE107" s="25">
        <f t="shared" si="161"/>
        <v>0</v>
      </c>
      <c r="BF107" s="75">
        <f t="shared" si="162"/>
        <v>0</v>
      </c>
      <c r="BG107" s="75">
        <f t="shared" si="163"/>
        <v>0</v>
      </c>
      <c r="BH107" s="75">
        <f t="shared" si="164"/>
        <v>0</v>
      </c>
      <c r="BI107" s="75"/>
      <c r="BJ107" s="75">
        <f t="shared" si="165"/>
        <v>0</v>
      </c>
      <c r="BK107" s="75"/>
      <c r="BL107" s="75">
        <f t="shared" si="166"/>
        <v>0</v>
      </c>
      <c r="BM107" s="75">
        <f t="shared" si="166"/>
        <v>0</v>
      </c>
      <c r="BN107" s="75"/>
      <c r="BO107" s="75"/>
      <c r="BP107" s="75"/>
      <c r="BQ107" s="75"/>
      <c r="BR107" s="75">
        <f t="shared" si="167"/>
        <v>0</v>
      </c>
      <c r="BS107" s="75">
        <f t="shared" si="167"/>
        <v>0</v>
      </c>
      <c r="BT107" s="75">
        <f t="shared" si="167"/>
        <v>0</v>
      </c>
      <c r="BU107" s="75">
        <f t="shared" si="167"/>
        <v>0</v>
      </c>
      <c r="BV107" s="75">
        <f t="shared" si="167"/>
        <v>0</v>
      </c>
      <c r="BW107" s="75">
        <f t="shared" si="167"/>
        <v>0</v>
      </c>
      <c r="BX107" s="75"/>
      <c r="BY107" s="75"/>
      <c r="BZ107" s="75">
        <f t="shared" si="168"/>
        <v>0</v>
      </c>
      <c r="CA107" s="25">
        <f t="shared" si="169"/>
        <v>0.93054841666666666</v>
      </c>
      <c r="CB107" s="75">
        <f t="shared" si="170"/>
        <v>55832905</v>
      </c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>
        <f>+'[1]AGOSTO 2015'!$H$851</f>
        <v>55832905</v>
      </c>
      <c r="CT107" s="75"/>
      <c r="CU107" s="75"/>
      <c r="CV107" s="75"/>
      <c r="CW107" s="25">
        <f t="shared" si="171"/>
        <v>6.9451583333333344E-2</v>
      </c>
      <c r="CX107" s="75">
        <f t="shared" si="172"/>
        <v>4167095</v>
      </c>
      <c r="CY107" s="75">
        <f t="shared" si="178"/>
        <v>0</v>
      </c>
      <c r="CZ107" s="75"/>
      <c r="DA107" s="75"/>
      <c r="DB107" s="75">
        <f>Q107-CF107</f>
        <v>0</v>
      </c>
      <c r="DC107" s="75"/>
      <c r="DD107" s="75">
        <f t="shared" si="173"/>
        <v>0</v>
      </c>
      <c r="DE107" s="75">
        <f t="shared" si="173"/>
        <v>0</v>
      </c>
      <c r="DF107" s="75"/>
      <c r="DG107" s="75">
        <f t="shared" si="174"/>
        <v>0</v>
      </c>
      <c r="DH107" s="75">
        <f t="shared" si="174"/>
        <v>0</v>
      </c>
      <c r="DI107" s="75"/>
      <c r="DJ107" s="75">
        <f t="shared" si="175"/>
        <v>0</v>
      </c>
      <c r="DK107" s="75">
        <f t="shared" si="175"/>
        <v>0</v>
      </c>
      <c r="DL107" s="75">
        <f t="shared" si="175"/>
        <v>0</v>
      </c>
      <c r="DM107" s="75">
        <f t="shared" si="176"/>
        <v>0</v>
      </c>
      <c r="DN107" s="75">
        <f t="shared" si="176"/>
        <v>0</v>
      </c>
      <c r="DO107" s="75">
        <f t="shared" si="176"/>
        <v>4167095</v>
      </c>
      <c r="DP107" s="75">
        <f t="shared" si="176"/>
        <v>0</v>
      </c>
      <c r="DQ107" s="75"/>
      <c r="DR107" s="75">
        <f t="shared" si="177"/>
        <v>0</v>
      </c>
    </row>
    <row r="108" spans="1:122" ht="42" hidden="1" customHeight="1" x14ac:dyDescent="0.3">
      <c r="A108" s="258"/>
      <c r="B108" s="271"/>
      <c r="C108" s="272" t="s">
        <v>202</v>
      </c>
      <c r="D108" s="272" t="s">
        <v>201</v>
      </c>
      <c r="E108" s="273">
        <v>301</v>
      </c>
      <c r="F108" s="181" t="s">
        <v>200</v>
      </c>
      <c r="G108" s="228"/>
      <c r="H108" s="79">
        <f t="shared" si="156"/>
        <v>21234417</v>
      </c>
      <c r="I108" s="79">
        <f t="shared" si="157"/>
        <v>12765583</v>
      </c>
      <c r="J108" s="78"/>
      <c r="K108" s="78"/>
      <c r="L108" s="78"/>
      <c r="M108" s="75">
        <f t="shared" si="158"/>
        <v>34000000</v>
      </c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>
        <f>6000000+15000000+4000000+9000000</f>
        <v>34000000</v>
      </c>
      <c r="AI108" s="25">
        <f t="shared" si="159"/>
        <v>0.8529411764705882</v>
      </c>
      <c r="AJ108" s="75">
        <f t="shared" si="160"/>
        <v>29000000</v>
      </c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>
        <f>+'[2]JULIO 2015'!$AD$771</f>
        <v>29000000</v>
      </c>
      <c r="BE108" s="25">
        <f t="shared" si="161"/>
        <v>0.1470588235294118</v>
      </c>
      <c r="BF108" s="75">
        <f t="shared" si="162"/>
        <v>5000000</v>
      </c>
      <c r="BG108" s="75">
        <f t="shared" si="163"/>
        <v>0</v>
      </c>
      <c r="BH108" s="75">
        <f t="shared" si="164"/>
        <v>0</v>
      </c>
      <c r="BI108" s="75"/>
      <c r="BJ108" s="75">
        <f t="shared" si="165"/>
        <v>0</v>
      </c>
      <c r="BK108" s="75"/>
      <c r="BL108" s="75">
        <f t="shared" si="166"/>
        <v>0</v>
      </c>
      <c r="BM108" s="75">
        <f t="shared" si="166"/>
        <v>0</v>
      </c>
      <c r="BN108" s="75"/>
      <c r="BO108" s="75">
        <f t="shared" ref="BO108:BQ110" si="179">+V108-AS108</f>
        <v>0</v>
      </c>
      <c r="BP108" s="75">
        <f t="shared" si="179"/>
        <v>0</v>
      </c>
      <c r="BQ108" s="75">
        <f t="shared" si="179"/>
        <v>0</v>
      </c>
      <c r="BR108" s="75">
        <f t="shared" si="167"/>
        <v>0</v>
      </c>
      <c r="BS108" s="75">
        <f t="shared" si="167"/>
        <v>0</v>
      </c>
      <c r="BT108" s="75">
        <f t="shared" si="167"/>
        <v>0</v>
      </c>
      <c r="BU108" s="75">
        <f t="shared" si="167"/>
        <v>0</v>
      </c>
      <c r="BV108" s="75">
        <f t="shared" si="167"/>
        <v>0</v>
      </c>
      <c r="BW108" s="75">
        <f t="shared" si="167"/>
        <v>0</v>
      </c>
      <c r="BX108" s="75"/>
      <c r="BY108" s="75"/>
      <c r="BZ108" s="75">
        <f t="shared" si="168"/>
        <v>5000000</v>
      </c>
      <c r="CA108" s="25">
        <f t="shared" si="169"/>
        <v>0.62454167647058823</v>
      </c>
      <c r="CB108" s="75">
        <f t="shared" si="170"/>
        <v>21234417</v>
      </c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>
        <f>+'[1]AGOSTO 2015'!$H$864</f>
        <v>21234417</v>
      </c>
      <c r="CW108" s="25">
        <f t="shared" si="171"/>
        <v>0.37545832352941177</v>
      </c>
      <c r="CX108" s="75">
        <f t="shared" si="172"/>
        <v>12765583</v>
      </c>
      <c r="CY108" s="75">
        <f t="shared" si="178"/>
        <v>0</v>
      </c>
      <c r="CZ108" s="75"/>
      <c r="DA108" s="75"/>
      <c r="DB108" s="75">
        <f>Q108-CF108</f>
        <v>0</v>
      </c>
      <c r="DC108" s="75"/>
      <c r="DD108" s="75">
        <f t="shared" si="173"/>
        <v>0</v>
      </c>
      <c r="DE108" s="75">
        <f t="shared" si="173"/>
        <v>0</v>
      </c>
      <c r="DF108" s="75"/>
      <c r="DG108" s="75">
        <f t="shared" si="174"/>
        <v>0</v>
      </c>
      <c r="DH108" s="75">
        <f t="shared" si="174"/>
        <v>0</v>
      </c>
      <c r="DI108" s="75"/>
      <c r="DJ108" s="75">
        <f t="shared" si="175"/>
        <v>0</v>
      </c>
      <c r="DK108" s="75">
        <f t="shared" si="175"/>
        <v>0</v>
      </c>
      <c r="DL108" s="75">
        <f t="shared" si="175"/>
        <v>0</v>
      </c>
      <c r="DM108" s="75">
        <f t="shared" si="176"/>
        <v>0</v>
      </c>
      <c r="DN108" s="75">
        <f t="shared" si="176"/>
        <v>0</v>
      </c>
      <c r="DO108" s="75">
        <f t="shared" si="176"/>
        <v>0</v>
      </c>
      <c r="DP108" s="75">
        <f t="shared" si="176"/>
        <v>0</v>
      </c>
      <c r="DQ108" s="75"/>
      <c r="DR108" s="75">
        <f t="shared" si="177"/>
        <v>12765583</v>
      </c>
    </row>
    <row r="109" spans="1:122" ht="58.5" hidden="1" customHeight="1" x14ac:dyDescent="0.3">
      <c r="A109" s="258"/>
      <c r="B109" s="271"/>
      <c r="C109" s="272" t="s">
        <v>199</v>
      </c>
      <c r="D109" s="272" t="s">
        <v>198</v>
      </c>
      <c r="E109" s="273">
        <v>301</v>
      </c>
      <c r="F109" s="181" t="s">
        <v>166</v>
      </c>
      <c r="G109" s="228"/>
      <c r="H109" s="79">
        <f t="shared" si="156"/>
        <v>0</v>
      </c>
      <c r="I109" s="79">
        <f t="shared" si="157"/>
        <v>24000000</v>
      </c>
      <c r="J109" s="78"/>
      <c r="K109" s="78"/>
      <c r="L109" s="78"/>
      <c r="M109" s="75">
        <f t="shared" si="158"/>
        <v>24000000</v>
      </c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>
        <v>24000000</v>
      </c>
      <c r="AE109" s="75"/>
      <c r="AF109" s="75"/>
      <c r="AG109" s="75"/>
      <c r="AI109" s="25">
        <f t="shared" si="159"/>
        <v>0</v>
      </c>
      <c r="AJ109" s="75">
        <f t="shared" si="160"/>
        <v>0</v>
      </c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25">
        <f t="shared" si="161"/>
        <v>1</v>
      </c>
      <c r="BF109" s="75">
        <f t="shared" si="162"/>
        <v>24000000</v>
      </c>
      <c r="BG109" s="75">
        <f t="shared" si="163"/>
        <v>0</v>
      </c>
      <c r="BH109" s="75">
        <f t="shared" si="164"/>
        <v>0</v>
      </c>
      <c r="BI109" s="75"/>
      <c r="BJ109" s="75">
        <f t="shared" si="165"/>
        <v>0</v>
      </c>
      <c r="BK109" s="75"/>
      <c r="BL109" s="75">
        <f t="shared" si="166"/>
        <v>0</v>
      </c>
      <c r="BM109" s="75">
        <f t="shared" si="166"/>
        <v>0</v>
      </c>
      <c r="BN109" s="75"/>
      <c r="BO109" s="75">
        <f t="shared" si="179"/>
        <v>0</v>
      </c>
      <c r="BP109" s="75">
        <f t="shared" si="179"/>
        <v>0</v>
      </c>
      <c r="BQ109" s="75">
        <f t="shared" si="179"/>
        <v>0</v>
      </c>
      <c r="BR109" s="75">
        <f t="shared" si="167"/>
        <v>0</v>
      </c>
      <c r="BS109" s="75">
        <f t="shared" si="167"/>
        <v>0</v>
      </c>
      <c r="BT109" s="75">
        <f t="shared" si="167"/>
        <v>0</v>
      </c>
      <c r="BU109" s="75">
        <f t="shared" si="167"/>
        <v>0</v>
      </c>
      <c r="BV109" s="75">
        <f t="shared" si="167"/>
        <v>0</v>
      </c>
      <c r="BW109" s="75">
        <f t="shared" si="167"/>
        <v>24000000</v>
      </c>
      <c r="BX109" s="75"/>
      <c r="BY109" s="75"/>
      <c r="BZ109" s="75">
        <f t="shared" si="168"/>
        <v>0</v>
      </c>
      <c r="CA109" s="25">
        <f t="shared" si="169"/>
        <v>0</v>
      </c>
      <c r="CB109" s="75">
        <f t="shared" si="170"/>
        <v>0</v>
      </c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25">
        <f t="shared" si="171"/>
        <v>1</v>
      </c>
      <c r="CX109" s="75">
        <f t="shared" si="172"/>
        <v>24000000</v>
      </c>
      <c r="CY109" s="75">
        <f t="shared" si="178"/>
        <v>0</v>
      </c>
      <c r="CZ109" s="75"/>
      <c r="DA109" s="75"/>
      <c r="DB109" s="75">
        <f>Q109-CF109</f>
        <v>0</v>
      </c>
      <c r="DC109" s="75"/>
      <c r="DD109" s="75">
        <f t="shared" si="173"/>
        <v>0</v>
      </c>
      <c r="DE109" s="75">
        <f t="shared" si="173"/>
        <v>0</v>
      </c>
      <c r="DF109" s="75"/>
      <c r="DG109" s="75">
        <f t="shared" si="174"/>
        <v>0</v>
      </c>
      <c r="DH109" s="75">
        <f t="shared" si="174"/>
        <v>0</v>
      </c>
      <c r="DI109" s="75"/>
      <c r="DJ109" s="75">
        <f t="shared" si="175"/>
        <v>0</v>
      </c>
      <c r="DK109" s="75">
        <f t="shared" si="175"/>
        <v>0</v>
      </c>
      <c r="DL109" s="75">
        <f t="shared" si="175"/>
        <v>0</v>
      </c>
      <c r="DM109" s="75">
        <f t="shared" si="176"/>
        <v>0</v>
      </c>
      <c r="DN109" s="75">
        <f t="shared" si="176"/>
        <v>0</v>
      </c>
      <c r="DO109" s="75">
        <f t="shared" si="176"/>
        <v>24000000</v>
      </c>
      <c r="DP109" s="75">
        <f t="shared" si="176"/>
        <v>0</v>
      </c>
      <c r="DQ109" s="75"/>
      <c r="DR109" s="75">
        <f t="shared" si="177"/>
        <v>0</v>
      </c>
    </row>
    <row r="110" spans="1:122" ht="33" hidden="1" customHeight="1" x14ac:dyDescent="0.3">
      <c r="A110" s="258"/>
      <c r="B110" s="271"/>
      <c r="C110" s="272" t="s">
        <v>197</v>
      </c>
      <c r="D110" s="272" t="s">
        <v>196</v>
      </c>
      <c r="E110" s="273">
        <v>301</v>
      </c>
      <c r="F110" s="181" t="s">
        <v>166</v>
      </c>
      <c r="G110" s="228"/>
      <c r="H110" s="79">
        <f t="shared" si="156"/>
        <v>20728499</v>
      </c>
      <c r="I110" s="79">
        <f t="shared" si="157"/>
        <v>64271501</v>
      </c>
      <c r="J110" s="78"/>
      <c r="K110" s="78"/>
      <c r="L110" s="78"/>
      <c r="M110" s="75">
        <f t="shared" si="158"/>
        <v>85000000</v>
      </c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>
        <v>11406867</v>
      </c>
      <c r="AB110" s="75"/>
      <c r="AC110" s="75"/>
      <c r="AD110" s="75">
        <v>73593133</v>
      </c>
      <c r="AE110" s="75"/>
      <c r="AF110" s="75"/>
      <c r="AG110" s="75"/>
      <c r="AI110" s="25">
        <f t="shared" si="159"/>
        <v>1</v>
      </c>
      <c r="AJ110" s="75">
        <f t="shared" si="160"/>
        <v>85000000</v>
      </c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>
        <f>+'[9]ENERO 2015'!$T$326</f>
        <v>11406867</v>
      </c>
      <c r="AY110" s="75"/>
      <c r="AZ110" s="75"/>
      <c r="BA110" s="75">
        <f>+'[9]ENERO 2015'!$W$326</f>
        <v>73593133</v>
      </c>
      <c r="BB110" s="75"/>
      <c r="BC110" s="75"/>
      <c r="BD110" s="75"/>
      <c r="BE110" s="25">
        <f t="shared" si="161"/>
        <v>0</v>
      </c>
      <c r="BF110" s="75">
        <f t="shared" si="162"/>
        <v>0</v>
      </c>
      <c r="BG110" s="75">
        <f t="shared" si="163"/>
        <v>0</v>
      </c>
      <c r="BH110" s="75">
        <f t="shared" si="164"/>
        <v>0</v>
      </c>
      <c r="BI110" s="75"/>
      <c r="BJ110" s="75">
        <f t="shared" si="165"/>
        <v>0</v>
      </c>
      <c r="BK110" s="75"/>
      <c r="BL110" s="75">
        <f t="shared" si="166"/>
        <v>0</v>
      </c>
      <c r="BM110" s="75">
        <f t="shared" si="166"/>
        <v>0</v>
      </c>
      <c r="BN110" s="75"/>
      <c r="BO110" s="75">
        <f t="shared" si="179"/>
        <v>0</v>
      </c>
      <c r="BP110" s="75">
        <f t="shared" si="179"/>
        <v>0</v>
      </c>
      <c r="BQ110" s="75">
        <f t="shared" si="179"/>
        <v>0</v>
      </c>
      <c r="BR110" s="75">
        <f t="shared" si="167"/>
        <v>0</v>
      </c>
      <c r="BS110" s="75">
        <f t="shared" si="167"/>
        <v>0</v>
      </c>
      <c r="BT110" s="75">
        <f t="shared" si="167"/>
        <v>0</v>
      </c>
      <c r="BU110" s="75">
        <f t="shared" si="167"/>
        <v>0</v>
      </c>
      <c r="BV110" s="75">
        <f t="shared" si="167"/>
        <v>0</v>
      </c>
      <c r="BW110" s="75">
        <f t="shared" si="167"/>
        <v>0</v>
      </c>
      <c r="BX110" s="75"/>
      <c r="BY110" s="75"/>
      <c r="BZ110" s="75">
        <f t="shared" si="168"/>
        <v>0</v>
      </c>
      <c r="CA110" s="25">
        <f t="shared" si="169"/>
        <v>0.24386469411764705</v>
      </c>
      <c r="CB110" s="75">
        <f t="shared" si="170"/>
        <v>20728499</v>
      </c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>
        <v>8728499</v>
      </c>
      <c r="CQ110" s="75"/>
      <c r="CR110" s="75"/>
      <c r="CS110" s="75">
        <v>12000000</v>
      </c>
      <c r="CT110" s="75"/>
      <c r="CU110" s="75"/>
      <c r="CV110" s="75"/>
      <c r="CW110" s="25">
        <f t="shared" si="171"/>
        <v>0.756135305882353</v>
      </c>
      <c r="CX110" s="75">
        <f t="shared" si="172"/>
        <v>64271501</v>
      </c>
      <c r="CY110" s="75">
        <f t="shared" si="178"/>
        <v>0</v>
      </c>
      <c r="CZ110" s="75"/>
      <c r="DA110" s="75"/>
      <c r="DB110" s="75">
        <f>Q110-CF110</f>
        <v>0</v>
      </c>
      <c r="DC110" s="75"/>
      <c r="DD110" s="75">
        <f t="shared" si="173"/>
        <v>0</v>
      </c>
      <c r="DE110" s="75">
        <f t="shared" si="173"/>
        <v>0</v>
      </c>
      <c r="DF110" s="75"/>
      <c r="DG110" s="75">
        <f t="shared" si="174"/>
        <v>0</v>
      </c>
      <c r="DH110" s="75">
        <f t="shared" si="174"/>
        <v>0</v>
      </c>
      <c r="DI110" s="75"/>
      <c r="DJ110" s="75">
        <f t="shared" si="175"/>
        <v>0</v>
      </c>
      <c r="DK110" s="75">
        <f t="shared" si="175"/>
        <v>0</v>
      </c>
      <c r="DL110" s="75">
        <f t="shared" si="175"/>
        <v>2678368</v>
      </c>
      <c r="DM110" s="75">
        <f t="shared" si="176"/>
        <v>0</v>
      </c>
      <c r="DN110" s="75">
        <f t="shared" si="176"/>
        <v>0</v>
      </c>
      <c r="DO110" s="75">
        <f t="shared" si="176"/>
        <v>61593133</v>
      </c>
      <c r="DP110" s="75">
        <f t="shared" si="176"/>
        <v>0</v>
      </c>
      <c r="DQ110" s="75"/>
      <c r="DR110" s="75">
        <f t="shared" si="177"/>
        <v>0</v>
      </c>
    </row>
    <row r="111" spans="1:122" ht="26.25" hidden="1" customHeight="1" x14ac:dyDescent="0.3">
      <c r="A111" s="258"/>
      <c r="B111" s="271"/>
      <c r="C111" s="272" t="s">
        <v>195</v>
      </c>
      <c r="D111" s="272" t="s">
        <v>194</v>
      </c>
      <c r="E111" s="273">
        <v>301</v>
      </c>
      <c r="F111" s="181" t="s">
        <v>193</v>
      </c>
      <c r="G111" s="228"/>
      <c r="H111" s="79">
        <f t="shared" si="156"/>
        <v>21520377</v>
      </c>
      <c r="I111" s="79">
        <f t="shared" si="157"/>
        <v>58479623</v>
      </c>
      <c r="J111" s="78"/>
      <c r="K111" s="78"/>
      <c r="L111" s="78"/>
      <c r="M111" s="75">
        <f t="shared" si="158"/>
        <v>80000000</v>
      </c>
      <c r="N111" s="75">
        <v>80000000</v>
      </c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I111" s="25">
        <f t="shared" si="159"/>
        <v>1</v>
      </c>
      <c r="AJ111" s="75">
        <f t="shared" si="160"/>
        <v>80000000</v>
      </c>
      <c r="AK111" s="75">
        <f>+'[4]MARZO 2015'!$J$488</f>
        <v>80000000</v>
      </c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25">
        <f t="shared" si="161"/>
        <v>0</v>
      </c>
      <c r="BF111" s="75">
        <f t="shared" si="162"/>
        <v>0</v>
      </c>
      <c r="BG111" s="75">
        <f t="shared" si="163"/>
        <v>0</v>
      </c>
      <c r="BH111" s="75">
        <f t="shared" si="164"/>
        <v>0</v>
      </c>
      <c r="BI111" s="75"/>
      <c r="BJ111" s="75">
        <f t="shared" si="165"/>
        <v>0</v>
      </c>
      <c r="BK111" s="75"/>
      <c r="BL111" s="75"/>
      <c r="BM111" s="75"/>
      <c r="BN111" s="75"/>
      <c r="BO111" s="75"/>
      <c r="BP111" s="75"/>
      <c r="BQ111" s="75"/>
      <c r="BR111" s="75"/>
      <c r="BS111" s="75">
        <f t="shared" ref="BS111:BV112" si="180">+Z111-AW111</f>
        <v>0</v>
      </c>
      <c r="BT111" s="75">
        <f t="shared" si="180"/>
        <v>0</v>
      </c>
      <c r="BU111" s="75">
        <f t="shared" si="180"/>
        <v>0</v>
      </c>
      <c r="BV111" s="75">
        <f t="shared" si="180"/>
        <v>0</v>
      </c>
      <c r="BW111" s="75"/>
      <c r="BX111" s="75"/>
      <c r="BY111" s="75"/>
      <c r="BZ111" s="75">
        <f t="shared" si="168"/>
        <v>0</v>
      </c>
      <c r="CA111" s="25">
        <f t="shared" si="169"/>
        <v>0.26900471250000002</v>
      </c>
      <c r="CB111" s="75">
        <f t="shared" si="170"/>
        <v>21520377</v>
      </c>
      <c r="CC111" s="75">
        <f>+'[1]AGOSTO 2015'!$H$910</f>
        <v>21520377</v>
      </c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5"/>
      <c r="CV111" s="75"/>
      <c r="CW111" s="25">
        <f t="shared" si="171"/>
        <v>0.73099528749999998</v>
      </c>
      <c r="CX111" s="75">
        <f t="shared" si="172"/>
        <v>58479623</v>
      </c>
      <c r="CY111" s="75">
        <f t="shared" si="178"/>
        <v>58479623</v>
      </c>
      <c r="CZ111" s="75"/>
      <c r="DA111" s="75"/>
      <c r="DB111" s="75"/>
      <c r="DC111" s="75"/>
      <c r="DD111" s="75">
        <f>S111-CH111</f>
        <v>0</v>
      </c>
      <c r="DE111" s="75"/>
      <c r="DF111" s="75"/>
      <c r="DG111" s="75"/>
      <c r="DH111" s="75"/>
      <c r="DI111" s="75"/>
      <c r="DJ111" s="75"/>
      <c r="DK111" s="75"/>
      <c r="DL111" s="75"/>
      <c r="DM111" s="75">
        <f>+AB111-CQ111</f>
        <v>0</v>
      </c>
      <c r="DN111" s="75"/>
      <c r="DO111" s="75"/>
      <c r="DP111" s="75"/>
      <c r="DQ111" s="75"/>
      <c r="DR111" s="75">
        <f t="shared" si="177"/>
        <v>0</v>
      </c>
    </row>
    <row r="112" spans="1:122" ht="26.25" hidden="1" customHeight="1" x14ac:dyDescent="0.3">
      <c r="A112" s="258"/>
      <c r="B112" s="271"/>
      <c r="C112" s="272" t="s">
        <v>192</v>
      </c>
      <c r="D112" s="272" t="s">
        <v>191</v>
      </c>
      <c r="E112" s="273">
        <v>301</v>
      </c>
      <c r="F112" s="181" t="s">
        <v>35</v>
      </c>
      <c r="G112" s="228"/>
      <c r="H112" s="79">
        <f t="shared" si="156"/>
        <v>100000000</v>
      </c>
      <c r="I112" s="79">
        <f t="shared" si="157"/>
        <v>0</v>
      </c>
      <c r="J112" s="78"/>
      <c r="K112" s="78"/>
      <c r="L112" s="78"/>
      <c r="M112" s="75">
        <f t="shared" si="158"/>
        <v>100000000</v>
      </c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>
        <v>100000000</v>
      </c>
      <c r="AC112" s="75"/>
      <c r="AD112" s="75"/>
      <c r="AE112" s="75"/>
      <c r="AF112" s="75"/>
      <c r="AG112" s="75"/>
      <c r="AI112" s="25">
        <f t="shared" si="159"/>
        <v>1</v>
      </c>
      <c r="AJ112" s="75">
        <f t="shared" si="160"/>
        <v>100000000</v>
      </c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>
        <f>+'[4]MARZO 2015'!$W$496</f>
        <v>100000000</v>
      </c>
      <c r="AZ112" s="75"/>
      <c r="BA112" s="75"/>
      <c r="BB112" s="75"/>
      <c r="BC112" s="75"/>
      <c r="BD112" s="75"/>
      <c r="BE112" s="25">
        <f t="shared" si="161"/>
        <v>0</v>
      </c>
      <c r="BF112" s="75">
        <f t="shared" si="162"/>
        <v>0</v>
      </c>
      <c r="BG112" s="75">
        <f t="shared" si="163"/>
        <v>0</v>
      </c>
      <c r="BH112" s="75">
        <f t="shared" si="164"/>
        <v>0</v>
      </c>
      <c r="BI112" s="75"/>
      <c r="BJ112" s="75">
        <f t="shared" si="165"/>
        <v>0</v>
      </c>
      <c r="BK112" s="75"/>
      <c r="BL112" s="75"/>
      <c r="BM112" s="75"/>
      <c r="BN112" s="75"/>
      <c r="BO112" s="75"/>
      <c r="BP112" s="75"/>
      <c r="BQ112" s="75"/>
      <c r="BR112" s="75"/>
      <c r="BS112" s="75">
        <f t="shared" si="180"/>
        <v>0</v>
      </c>
      <c r="BT112" s="75">
        <f t="shared" si="180"/>
        <v>0</v>
      </c>
      <c r="BU112" s="75">
        <f t="shared" si="180"/>
        <v>0</v>
      </c>
      <c r="BV112" s="75">
        <f t="shared" si="180"/>
        <v>0</v>
      </c>
      <c r="BW112" s="75"/>
      <c r="BX112" s="75"/>
      <c r="BY112" s="75"/>
      <c r="BZ112" s="75">
        <f t="shared" si="168"/>
        <v>0</v>
      </c>
      <c r="CA112" s="25">
        <f t="shared" si="169"/>
        <v>1</v>
      </c>
      <c r="CB112" s="75">
        <f t="shared" si="170"/>
        <v>100000000</v>
      </c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>
        <f>+'[3]ABRIL 2015'!$H$571</f>
        <v>100000000</v>
      </c>
      <c r="CR112" s="75"/>
      <c r="CS112" s="75"/>
      <c r="CT112" s="75"/>
      <c r="CU112" s="75"/>
      <c r="CV112" s="75"/>
      <c r="CW112" s="25">
        <f t="shared" si="171"/>
        <v>0</v>
      </c>
      <c r="CX112" s="75">
        <f t="shared" si="172"/>
        <v>0</v>
      </c>
      <c r="CY112" s="75">
        <f t="shared" si="178"/>
        <v>0</v>
      </c>
      <c r="CZ112" s="75"/>
      <c r="DA112" s="75"/>
      <c r="DB112" s="75"/>
      <c r="DC112" s="75"/>
      <c r="DD112" s="75">
        <f>S112-CH112</f>
        <v>0</v>
      </c>
      <c r="DE112" s="75"/>
      <c r="DF112" s="75"/>
      <c r="DG112" s="75"/>
      <c r="DH112" s="75"/>
      <c r="DI112" s="75"/>
      <c r="DJ112" s="75"/>
      <c r="DK112" s="75"/>
      <c r="DL112" s="75"/>
      <c r="DM112" s="75">
        <f>+AB112-CQ112</f>
        <v>0</v>
      </c>
      <c r="DN112" s="75"/>
      <c r="DO112" s="75"/>
      <c r="DP112" s="75"/>
      <c r="DQ112" s="75"/>
      <c r="DR112" s="75">
        <f t="shared" si="177"/>
        <v>0</v>
      </c>
    </row>
    <row r="113" spans="1:123" ht="33.75" hidden="1" customHeight="1" x14ac:dyDescent="0.3">
      <c r="A113" s="258"/>
      <c r="B113" s="271"/>
      <c r="C113" s="272" t="s">
        <v>190</v>
      </c>
      <c r="D113" s="272" t="s">
        <v>189</v>
      </c>
      <c r="E113" s="273">
        <v>301</v>
      </c>
      <c r="F113" s="181" t="s">
        <v>166</v>
      </c>
      <c r="G113" s="229"/>
      <c r="H113" s="79">
        <f t="shared" si="156"/>
        <v>0</v>
      </c>
      <c r="I113" s="79">
        <f t="shared" si="157"/>
        <v>30000000</v>
      </c>
      <c r="J113" s="78"/>
      <c r="K113" s="78"/>
      <c r="L113" s="78"/>
      <c r="M113" s="75">
        <f t="shared" si="158"/>
        <v>30000000</v>
      </c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>
        <v>30000000</v>
      </c>
      <c r="AD113" s="75"/>
      <c r="AE113" s="75"/>
      <c r="AF113" s="75"/>
      <c r="AG113" s="75"/>
      <c r="AI113" s="25">
        <f t="shared" si="159"/>
        <v>0</v>
      </c>
      <c r="AJ113" s="75">
        <f t="shared" si="160"/>
        <v>0</v>
      </c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25">
        <f t="shared" si="161"/>
        <v>1</v>
      </c>
      <c r="BF113" s="75">
        <f t="shared" si="162"/>
        <v>30000000</v>
      </c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>
        <f t="shared" ref="BV113:BV120" si="181">+AC113-AZ113</f>
        <v>30000000</v>
      </c>
      <c r="BW113" s="75"/>
      <c r="BX113" s="75"/>
      <c r="BY113" s="75"/>
      <c r="BZ113" s="75"/>
      <c r="CA113" s="25">
        <f t="shared" si="169"/>
        <v>0</v>
      </c>
      <c r="CB113" s="75">
        <f t="shared" si="170"/>
        <v>0</v>
      </c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5"/>
      <c r="CV113" s="75"/>
      <c r="CW113" s="25">
        <f t="shared" si="171"/>
        <v>1</v>
      </c>
      <c r="CX113" s="75">
        <f t="shared" si="172"/>
        <v>30000000</v>
      </c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>
        <f t="shared" ref="DN113:DN120" si="182">+AC113-CR113</f>
        <v>30000000</v>
      </c>
      <c r="DO113" s="75"/>
      <c r="DP113" s="75"/>
      <c r="DQ113" s="75"/>
      <c r="DR113" s="75"/>
    </row>
    <row r="114" spans="1:123" ht="44.25" hidden="1" customHeight="1" x14ac:dyDescent="0.3">
      <c r="A114" s="258"/>
      <c r="B114" s="271" t="s">
        <v>188</v>
      </c>
      <c r="C114" s="272" t="s">
        <v>187</v>
      </c>
      <c r="D114" s="272" t="s">
        <v>186</v>
      </c>
      <c r="E114" s="273">
        <v>301</v>
      </c>
      <c r="F114" s="181" t="s">
        <v>185</v>
      </c>
      <c r="G114" s="78">
        <v>304000000</v>
      </c>
      <c r="H114" s="79">
        <f t="shared" si="156"/>
        <v>208877300</v>
      </c>
      <c r="I114" s="79">
        <f t="shared" si="157"/>
        <v>103122700</v>
      </c>
      <c r="J114" s="78"/>
      <c r="K114" s="78"/>
      <c r="L114" s="78"/>
      <c r="M114" s="75">
        <f t="shared" si="158"/>
        <v>312000000</v>
      </c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>
        <v>300000000</v>
      </c>
      <c r="AB114" s="75"/>
      <c r="AC114" s="75"/>
      <c r="AD114" s="75"/>
      <c r="AE114" s="75"/>
      <c r="AF114" s="75"/>
      <c r="AG114" s="75">
        <f>4000000+8000000</f>
        <v>12000000</v>
      </c>
      <c r="AI114" s="25">
        <f t="shared" si="159"/>
        <v>0.99425641025641021</v>
      </c>
      <c r="AJ114" s="75">
        <f t="shared" si="160"/>
        <v>310208000</v>
      </c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>
        <f>+'[1]AGOSTO 2015'!$W$943</f>
        <v>298208000</v>
      </c>
      <c r="AY114" s="75"/>
      <c r="AZ114" s="75"/>
      <c r="BA114" s="75"/>
      <c r="BB114" s="75"/>
      <c r="BC114" s="75"/>
      <c r="BD114" s="75">
        <f>+'[2]JULIO 2015'!$AD$839</f>
        <v>12000000</v>
      </c>
      <c r="BE114" s="25">
        <f t="shared" si="161"/>
        <v>5.7435897435897942E-3</v>
      </c>
      <c r="BF114" s="75">
        <f t="shared" si="162"/>
        <v>1792000</v>
      </c>
      <c r="BG114" s="75">
        <f t="shared" ref="BG114:BG120" si="183">+N114-AK114</f>
        <v>0</v>
      </c>
      <c r="BH114" s="75">
        <f t="shared" ref="BH114:BH120" si="184">O114-AL114</f>
        <v>0</v>
      </c>
      <c r="BI114" s="75"/>
      <c r="BJ114" s="75">
        <f t="shared" ref="BJ114:BJ120" si="185">Q114-AN114</f>
        <v>0</v>
      </c>
      <c r="BK114" s="75"/>
      <c r="BL114" s="75">
        <f t="shared" ref="BL114:BM120" si="186">+S114-AP114</f>
        <v>0</v>
      </c>
      <c r="BM114" s="75">
        <f t="shared" si="186"/>
        <v>0</v>
      </c>
      <c r="BN114" s="75"/>
      <c r="BO114" s="75">
        <f t="shared" ref="BO114:BU115" si="187">+V114-AS114</f>
        <v>0</v>
      </c>
      <c r="BP114" s="75">
        <f t="shared" si="187"/>
        <v>0</v>
      </c>
      <c r="BQ114" s="75">
        <f t="shared" si="187"/>
        <v>0</v>
      </c>
      <c r="BR114" s="75">
        <f t="shared" si="187"/>
        <v>0</v>
      </c>
      <c r="BS114" s="75">
        <f t="shared" si="187"/>
        <v>0</v>
      </c>
      <c r="BT114" s="75">
        <f t="shared" si="187"/>
        <v>1792000</v>
      </c>
      <c r="BU114" s="75">
        <f t="shared" si="187"/>
        <v>0</v>
      </c>
      <c r="BV114" s="75">
        <f t="shared" si="181"/>
        <v>0</v>
      </c>
      <c r="BW114" s="75">
        <f t="shared" ref="BW114:BW120" si="188">+AD114-BA114</f>
        <v>0</v>
      </c>
      <c r="BX114" s="75"/>
      <c r="BY114" s="75"/>
      <c r="BZ114" s="75">
        <f t="shared" ref="BZ114:BZ120" si="189">+AG114-BD114</f>
        <v>0</v>
      </c>
      <c r="CA114" s="25">
        <f t="shared" si="169"/>
        <v>0.66947852564102561</v>
      </c>
      <c r="CB114" s="75">
        <f t="shared" si="170"/>
        <v>208877300</v>
      </c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>
        <f>+'[1]AGOSTO 2015'!$H$944+'[1]AGOSTO 2015'!$H$946</f>
        <v>207877300</v>
      </c>
      <c r="CQ114" s="75"/>
      <c r="CR114" s="75"/>
      <c r="CS114" s="75"/>
      <c r="CT114" s="75"/>
      <c r="CU114" s="75"/>
      <c r="CV114" s="75">
        <f>+'[10]MAYO 2015'!$H$662</f>
        <v>1000000</v>
      </c>
      <c r="CW114" s="25">
        <f t="shared" si="171"/>
        <v>0.33052147435897439</v>
      </c>
      <c r="CX114" s="75">
        <f t="shared" si="172"/>
        <v>103122700</v>
      </c>
      <c r="CY114" s="75">
        <f t="shared" ref="CY114:CY120" si="190">N114-CC114</f>
        <v>0</v>
      </c>
      <c r="CZ114" s="75"/>
      <c r="DA114" s="75"/>
      <c r="DB114" s="75">
        <f t="shared" ref="DB114:DB120" si="191">Q114-CF114</f>
        <v>0</v>
      </c>
      <c r="DC114" s="75"/>
      <c r="DD114" s="75">
        <f t="shared" ref="DD114:DE120" si="192">S114-CH114</f>
        <v>0</v>
      </c>
      <c r="DE114" s="75">
        <f t="shared" si="192"/>
        <v>0</v>
      </c>
      <c r="DF114" s="75"/>
      <c r="DG114" s="75">
        <f t="shared" ref="DG114:DH120" si="193">+V114-CK114</f>
        <v>0</v>
      </c>
      <c r="DH114" s="75">
        <f t="shared" si="193"/>
        <v>0</v>
      </c>
      <c r="DI114" s="75"/>
      <c r="DJ114" s="75">
        <f t="shared" ref="DJ114:DL120" si="194">Y114-CN114</f>
        <v>0</v>
      </c>
      <c r="DK114" s="75">
        <f t="shared" si="194"/>
        <v>0</v>
      </c>
      <c r="DL114" s="75">
        <f t="shared" si="194"/>
        <v>92122700</v>
      </c>
      <c r="DM114" s="75">
        <f t="shared" ref="DM114:DM120" si="195">+AB114-CQ114</f>
        <v>0</v>
      </c>
      <c r="DN114" s="75">
        <f t="shared" si="182"/>
        <v>0</v>
      </c>
      <c r="DO114" s="75">
        <f t="shared" ref="DO114:DP120" si="196">+AD114-CS114</f>
        <v>0</v>
      </c>
      <c r="DP114" s="75">
        <f t="shared" si="196"/>
        <v>0</v>
      </c>
      <c r="DQ114" s="75"/>
      <c r="DR114" s="75">
        <f t="shared" ref="DR114:DR120" si="197">+AG114-CV114</f>
        <v>11000000</v>
      </c>
    </row>
    <row r="115" spans="1:123" ht="71.25" hidden="1" customHeight="1" x14ac:dyDescent="0.3">
      <c r="A115" s="258"/>
      <c r="B115" s="271" t="s">
        <v>184</v>
      </c>
      <c r="C115" s="272" t="s">
        <v>183</v>
      </c>
      <c r="D115" s="272" t="s">
        <v>182</v>
      </c>
      <c r="E115" s="273">
        <v>301</v>
      </c>
      <c r="F115" s="181" t="s">
        <v>181</v>
      </c>
      <c r="G115" s="78">
        <v>306000000</v>
      </c>
      <c r="H115" s="79">
        <f t="shared" si="156"/>
        <v>129601634</v>
      </c>
      <c r="I115" s="79">
        <f t="shared" si="157"/>
        <v>187398366</v>
      </c>
      <c r="J115" s="78"/>
      <c r="K115" s="78"/>
      <c r="L115" s="78"/>
      <c r="M115" s="75">
        <f t="shared" si="158"/>
        <v>317000000</v>
      </c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>
        <v>300000000</v>
      </c>
      <c r="AB115" s="75"/>
      <c r="AC115" s="75"/>
      <c r="AD115" s="75"/>
      <c r="AE115" s="75"/>
      <c r="AF115" s="75"/>
      <c r="AG115" s="75">
        <f>1000000+5000000+11000000</f>
        <v>17000000</v>
      </c>
      <c r="AI115" s="25">
        <f t="shared" si="159"/>
        <v>0.93938264984227127</v>
      </c>
      <c r="AJ115" s="75">
        <f t="shared" si="160"/>
        <v>297784300</v>
      </c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>
        <f>+'[6]JUNIO 2015'!$W$749</f>
        <v>282584300</v>
      </c>
      <c r="AY115" s="75"/>
      <c r="AZ115" s="75"/>
      <c r="BA115" s="75"/>
      <c r="BB115" s="75"/>
      <c r="BC115" s="75"/>
      <c r="BD115" s="75">
        <f>+'[1]AGOSTO 2015'!$AD$997</f>
        <v>15200000</v>
      </c>
      <c r="BE115" s="25">
        <f t="shared" si="161"/>
        <v>6.0617350157728733E-2</v>
      </c>
      <c r="BF115" s="75">
        <f t="shared" si="162"/>
        <v>19215700</v>
      </c>
      <c r="BG115" s="75">
        <f t="shared" si="183"/>
        <v>0</v>
      </c>
      <c r="BH115" s="75">
        <f t="shared" si="184"/>
        <v>0</v>
      </c>
      <c r="BI115" s="75"/>
      <c r="BJ115" s="75">
        <f t="shared" si="185"/>
        <v>0</v>
      </c>
      <c r="BK115" s="75"/>
      <c r="BL115" s="75">
        <f t="shared" si="186"/>
        <v>0</v>
      </c>
      <c r="BM115" s="75">
        <f t="shared" si="186"/>
        <v>0</v>
      </c>
      <c r="BN115" s="75"/>
      <c r="BO115" s="75">
        <f t="shared" si="187"/>
        <v>0</v>
      </c>
      <c r="BP115" s="75">
        <f t="shared" si="187"/>
        <v>0</v>
      </c>
      <c r="BQ115" s="75">
        <f t="shared" si="187"/>
        <v>0</v>
      </c>
      <c r="BR115" s="75">
        <f t="shared" si="187"/>
        <v>0</v>
      </c>
      <c r="BS115" s="75">
        <f t="shared" si="187"/>
        <v>0</v>
      </c>
      <c r="BT115" s="75">
        <f t="shared" si="187"/>
        <v>17415700</v>
      </c>
      <c r="BU115" s="75">
        <f t="shared" si="187"/>
        <v>0</v>
      </c>
      <c r="BV115" s="75">
        <f t="shared" si="181"/>
        <v>0</v>
      </c>
      <c r="BW115" s="75">
        <f t="shared" si="188"/>
        <v>0</v>
      </c>
      <c r="BX115" s="75"/>
      <c r="BY115" s="75"/>
      <c r="BZ115" s="75">
        <f t="shared" si="189"/>
        <v>1800000</v>
      </c>
      <c r="CA115" s="25">
        <f t="shared" si="169"/>
        <v>0.40883796214511042</v>
      </c>
      <c r="CB115" s="75">
        <f t="shared" si="170"/>
        <v>129601634</v>
      </c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>
        <f>+'[1]AGOSTO 2015'!$H$999+'[1]AGOSTO 2015'!$H$1001+'[1]AGOSTO 2015'!$H$1003+'[1]AGOSTO 2015'!$H$1024</f>
        <v>125276634</v>
      </c>
      <c r="CQ115" s="75"/>
      <c r="CR115" s="75"/>
      <c r="CS115" s="75"/>
      <c r="CT115" s="75"/>
      <c r="CU115" s="75"/>
      <c r="CV115" s="75">
        <f>+'[1]AGOSTO 2015'!$H$998+'[1]AGOSTO 2015'!$H$1022+'[1]AGOSTO 2015'!$H$1025+'[1]AGOSTO 2015'!$H$1030</f>
        <v>4325000</v>
      </c>
      <c r="CW115" s="25">
        <f t="shared" si="171"/>
        <v>0.59116203785488963</v>
      </c>
      <c r="CX115" s="75">
        <f t="shared" si="172"/>
        <v>187398366</v>
      </c>
      <c r="CY115" s="75">
        <f t="shared" si="190"/>
        <v>0</v>
      </c>
      <c r="CZ115" s="75"/>
      <c r="DA115" s="75"/>
      <c r="DB115" s="75">
        <f t="shared" si="191"/>
        <v>0</v>
      </c>
      <c r="DC115" s="75"/>
      <c r="DD115" s="75">
        <f t="shared" si="192"/>
        <v>0</v>
      </c>
      <c r="DE115" s="75">
        <f t="shared" si="192"/>
        <v>0</v>
      </c>
      <c r="DF115" s="75"/>
      <c r="DG115" s="75">
        <f t="shared" si="193"/>
        <v>0</v>
      </c>
      <c r="DH115" s="75">
        <f t="shared" si="193"/>
        <v>0</v>
      </c>
      <c r="DI115" s="75"/>
      <c r="DJ115" s="75">
        <f t="shared" si="194"/>
        <v>0</v>
      </c>
      <c r="DK115" s="75">
        <f t="shared" si="194"/>
        <v>0</v>
      </c>
      <c r="DL115" s="75">
        <f t="shared" si="194"/>
        <v>174723366</v>
      </c>
      <c r="DM115" s="75">
        <f t="shared" si="195"/>
        <v>0</v>
      </c>
      <c r="DN115" s="75">
        <f t="shared" si="182"/>
        <v>0</v>
      </c>
      <c r="DO115" s="75">
        <f t="shared" si="196"/>
        <v>0</v>
      </c>
      <c r="DP115" s="75">
        <f t="shared" si="196"/>
        <v>0</v>
      </c>
      <c r="DQ115" s="75"/>
      <c r="DR115" s="75">
        <f t="shared" si="197"/>
        <v>12675000</v>
      </c>
    </row>
    <row r="116" spans="1:123" ht="29.25" hidden="1" customHeight="1" x14ac:dyDescent="0.3">
      <c r="A116" s="258"/>
      <c r="B116" s="271" t="s">
        <v>180</v>
      </c>
      <c r="C116" s="272" t="s">
        <v>179</v>
      </c>
      <c r="D116" s="272" t="s">
        <v>178</v>
      </c>
      <c r="E116" s="273">
        <v>301</v>
      </c>
      <c r="F116" s="181" t="s">
        <v>177</v>
      </c>
      <c r="G116" s="78">
        <v>67000000</v>
      </c>
      <c r="H116" s="79">
        <f t="shared" si="156"/>
        <v>3045000</v>
      </c>
      <c r="I116" s="79">
        <f t="shared" si="157"/>
        <v>16955000</v>
      </c>
      <c r="J116" s="78"/>
      <c r="K116" s="78"/>
      <c r="L116" s="78"/>
      <c r="M116" s="75">
        <f t="shared" si="158"/>
        <v>20000000</v>
      </c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>
        <f>67000000-52000000</f>
        <v>15000000</v>
      </c>
      <c r="AB116" s="75"/>
      <c r="AC116" s="75"/>
      <c r="AD116" s="75"/>
      <c r="AE116" s="75"/>
      <c r="AF116" s="75"/>
      <c r="AG116" s="75">
        <f>5000000</f>
        <v>5000000</v>
      </c>
      <c r="AI116" s="25">
        <f t="shared" si="159"/>
        <v>1</v>
      </c>
      <c r="AJ116" s="75">
        <f t="shared" si="160"/>
        <v>20000000</v>
      </c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>
        <f>+'[4]MARZO 2015'!$V$535</f>
        <v>15000000</v>
      </c>
      <c r="AY116" s="75"/>
      <c r="AZ116" s="75"/>
      <c r="BA116" s="75"/>
      <c r="BB116" s="75"/>
      <c r="BC116" s="75"/>
      <c r="BD116" s="75">
        <f>+'[6]JUNIO 2015'!$AD$780</f>
        <v>5000000</v>
      </c>
      <c r="BE116" s="25">
        <f t="shared" si="161"/>
        <v>0</v>
      </c>
      <c r="BF116" s="75">
        <f t="shared" si="162"/>
        <v>0</v>
      </c>
      <c r="BG116" s="75">
        <f t="shared" si="183"/>
        <v>0</v>
      </c>
      <c r="BH116" s="75">
        <f t="shared" si="184"/>
        <v>0</v>
      </c>
      <c r="BI116" s="75"/>
      <c r="BJ116" s="75">
        <f t="shared" si="185"/>
        <v>0</v>
      </c>
      <c r="BK116" s="75"/>
      <c r="BL116" s="75">
        <f t="shared" si="186"/>
        <v>0</v>
      </c>
      <c r="BM116" s="75">
        <f t="shared" si="186"/>
        <v>0</v>
      </c>
      <c r="BN116" s="75"/>
      <c r="BO116" s="75"/>
      <c r="BP116" s="75"/>
      <c r="BQ116" s="75"/>
      <c r="BR116" s="75">
        <f t="shared" ref="BR116:BU120" si="198">+Y116-AV116</f>
        <v>0</v>
      </c>
      <c r="BS116" s="75">
        <f t="shared" si="198"/>
        <v>0</v>
      </c>
      <c r="BT116" s="75">
        <f t="shared" si="198"/>
        <v>0</v>
      </c>
      <c r="BU116" s="75">
        <f t="shared" si="198"/>
        <v>0</v>
      </c>
      <c r="BV116" s="75">
        <f t="shared" si="181"/>
        <v>0</v>
      </c>
      <c r="BW116" s="75">
        <f t="shared" si="188"/>
        <v>0</v>
      </c>
      <c r="BX116" s="75"/>
      <c r="BY116" s="75"/>
      <c r="BZ116" s="75">
        <f t="shared" si="189"/>
        <v>0</v>
      </c>
      <c r="CA116" s="25">
        <f t="shared" si="169"/>
        <v>0.15225</v>
      </c>
      <c r="CB116" s="75">
        <f t="shared" si="170"/>
        <v>3045000</v>
      </c>
      <c r="CC116" s="75"/>
      <c r="CD116" s="75"/>
      <c r="CE116" s="75"/>
      <c r="CF116" s="75"/>
      <c r="CG116" s="75"/>
      <c r="CH116" s="75"/>
      <c r="CI116" s="75"/>
      <c r="CJ116" s="75"/>
      <c r="CK116" s="75"/>
      <c r="CL116" s="75"/>
      <c r="CM116" s="75"/>
      <c r="CN116" s="75"/>
      <c r="CO116" s="75"/>
      <c r="CP116" s="75"/>
      <c r="CQ116" s="75"/>
      <c r="CR116" s="75"/>
      <c r="CS116" s="75"/>
      <c r="CT116" s="75"/>
      <c r="CU116" s="75"/>
      <c r="CV116" s="75">
        <f>+'[6]JUNIO 2015'!$H$782</f>
        <v>3045000</v>
      </c>
      <c r="CW116" s="25">
        <f t="shared" si="171"/>
        <v>0.84775</v>
      </c>
      <c r="CX116" s="75">
        <f t="shared" si="172"/>
        <v>16955000</v>
      </c>
      <c r="CY116" s="75">
        <f t="shared" si="190"/>
        <v>0</v>
      </c>
      <c r="CZ116" s="75"/>
      <c r="DA116" s="75"/>
      <c r="DB116" s="75">
        <f t="shared" si="191"/>
        <v>0</v>
      </c>
      <c r="DC116" s="75"/>
      <c r="DD116" s="75">
        <f t="shared" si="192"/>
        <v>0</v>
      </c>
      <c r="DE116" s="75">
        <f t="shared" si="192"/>
        <v>0</v>
      </c>
      <c r="DF116" s="75"/>
      <c r="DG116" s="75">
        <f t="shared" si="193"/>
        <v>0</v>
      </c>
      <c r="DH116" s="75">
        <f t="shared" si="193"/>
        <v>0</v>
      </c>
      <c r="DI116" s="75"/>
      <c r="DJ116" s="75">
        <f t="shared" si="194"/>
        <v>0</v>
      </c>
      <c r="DK116" s="75">
        <f t="shared" si="194"/>
        <v>0</v>
      </c>
      <c r="DL116" s="75">
        <f t="shared" si="194"/>
        <v>15000000</v>
      </c>
      <c r="DM116" s="75">
        <f t="shared" si="195"/>
        <v>0</v>
      </c>
      <c r="DN116" s="75">
        <f t="shared" si="182"/>
        <v>0</v>
      </c>
      <c r="DO116" s="75">
        <f t="shared" si="196"/>
        <v>0</v>
      </c>
      <c r="DP116" s="75">
        <f t="shared" si="196"/>
        <v>0</v>
      </c>
      <c r="DQ116" s="75"/>
      <c r="DR116" s="75">
        <f t="shared" si="197"/>
        <v>1955000</v>
      </c>
    </row>
    <row r="117" spans="1:123" ht="33" hidden="1" customHeight="1" x14ac:dyDescent="0.3">
      <c r="A117" s="258"/>
      <c r="B117" s="271" t="s">
        <v>176</v>
      </c>
      <c r="C117" s="272" t="s">
        <v>175</v>
      </c>
      <c r="D117" s="272" t="s">
        <v>174</v>
      </c>
      <c r="E117" s="273">
        <v>301</v>
      </c>
      <c r="F117" s="181" t="s">
        <v>166</v>
      </c>
      <c r="G117" s="227">
        <v>900000000</v>
      </c>
      <c r="H117" s="79">
        <f t="shared" si="156"/>
        <v>1092351728</v>
      </c>
      <c r="I117" s="79">
        <f t="shared" si="157"/>
        <v>10335158</v>
      </c>
      <c r="J117" s="78"/>
      <c r="K117" s="78"/>
      <c r="L117" s="78"/>
      <c r="M117" s="75">
        <f t="shared" si="158"/>
        <v>1102686886</v>
      </c>
      <c r="N117" s="75">
        <v>24079469</v>
      </c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>
        <v>52000000</v>
      </c>
      <c r="AB117" s="75">
        <v>109019196</v>
      </c>
      <c r="AC117" s="75">
        <v>47588221</v>
      </c>
      <c r="AD117" s="75">
        <v>870000000</v>
      </c>
      <c r="AE117" s="75"/>
      <c r="AF117" s="75"/>
      <c r="AG117" s="75"/>
      <c r="AI117" s="25">
        <f t="shared" si="159"/>
        <v>0.99914340325255302</v>
      </c>
      <c r="AJ117" s="75">
        <f t="shared" si="160"/>
        <v>1101742328</v>
      </c>
      <c r="AK117" s="75">
        <f>+'[2]JULIO 2015'!$J$928</f>
        <v>23688299</v>
      </c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>
        <f>+'[6]JUNIO 2015'!$W$788</f>
        <v>52000000</v>
      </c>
      <c r="AY117" s="75">
        <f>+'[6]JUNIO 2015'!$X$788</f>
        <v>109019196</v>
      </c>
      <c r="AZ117" s="75">
        <f>+'[2]JULIO 2015'!$Y$928</f>
        <v>47034833</v>
      </c>
      <c r="BA117" s="75">
        <f>+'[6]JUNIO 2015'!$Z$788</f>
        <v>870000000</v>
      </c>
      <c r="BB117" s="75"/>
      <c r="BC117" s="75"/>
      <c r="BD117" s="75"/>
      <c r="BE117" s="25">
        <f t="shared" si="161"/>
        <v>8.5659674744698044E-4</v>
      </c>
      <c r="BF117" s="75">
        <f t="shared" si="162"/>
        <v>944558</v>
      </c>
      <c r="BG117" s="75">
        <f t="shared" si="183"/>
        <v>391170</v>
      </c>
      <c r="BH117" s="75">
        <f t="shared" si="184"/>
        <v>0</v>
      </c>
      <c r="BI117" s="75"/>
      <c r="BJ117" s="75">
        <f t="shared" si="185"/>
        <v>0</v>
      </c>
      <c r="BK117" s="75"/>
      <c r="BL117" s="75">
        <f t="shared" si="186"/>
        <v>0</v>
      </c>
      <c r="BM117" s="75">
        <f t="shared" si="186"/>
        <v>0</v>
      </c>
      <c r="BN117" s="75"/>
      <c r="BO117" s="75"/>
      <c r="BP117" s="75"/>
      <c r="BQ117" s="75"/>
      <c r="BR117" s="75">
        <f t="shared" si="198"/>
        <v>0</v>
      </c>
      <c r="BS117" s="75">
        <f t="shared" si="198"/>
        <v>0</v>
      </c>
      <c r="BT117" s="75">
        <f t="shared" si="198"/>
        <v>0</v>
      </c>
      <c r="BU117" s="75">
        <f t="shared" si="198"/>
        <v>0</v>
      </c>
      <c r="BV117" s="75">
        <f t="shared" si="181"/>
        <v>553388</v>
      </c>
      <c r="BW117" s="75">
        <f t="shared" si="188"/>
        <v>0</v>
      </c>
      <c r="BX117" s="75"/>
      <c r="BY117" s="75"/>
      <c r="BZ117" s="75">
        <f t="shared" si="189"/>
        <v>0</v>
      </c>
      <c r="CA117" s="25">
        <f t="shared" si="169"/>
        <v>0.99062729580698028</v>
      </c>
      <c r="CB117" s="75">
        <f t="shared" si="170"/>
        <v>1092351728</v>
      </c>
      <c r="CC117" s="75">
        <f>+'[1]AGOSTO 2015'!$H$1050+'[1]AGOSTO 2015'!$H$1064+'[1]AGOSTO 2015'!$H$1066</f>
        <v>23245422</v>
      </c>
      <c r="CD117" s="75"/>
      <c r="CE117" s="75"/>
      <c r="CF117" s="75"/>
      <c r="CG117" s="75"/>
      <c r="CH117" s="75"/>
      <c r="CI117" s="75"/>
      <c r="CJ117" s="75"/>
      <c r="CK117" s="75"/>
      <c r="CL117" s="75"/>
      <c r="CM117" s="75"/>
      <c r="CN117" s="75"/>
      <c r="CO117" s="75"/>
      <c r="CP117" s="75">
        <f>+'[1]AGOSTO 2015'!$H$1059+'[1]AGOSTO 2015'!$H$1062</f>
        <v>52000000</v>
      </c>
      <c r="CQ117" s="75">
        <f>+'[1]AGOSTO 2015'!$H$1052</f>
        <v>108815808</v>
      </c>
      <c r="CR117" s="75">
        <f>+'[1]AGOSTO 2015'!$H$1057+'[1]AGOSTO 2015'!$H$1061+'[1]AGOSTO 2015'!$H$1068</f>
        <v>38290498</v>
      </c>
      <c r="CS117" s="75">
        <f>+'[3]ABRIL 2015'!$H$632</f>
        <v>870000000</v>
      </c>
      <c r="CT117" s="75"/>
      <c r="CU117" s="75"/>
      <c r="CV117" s="75"/>
      <c r="CW117" s="25">
        <f t="shared" si="171"/>
        <v>9.3727041930197208E-3</v>
      </c>
      <c r="CX117" s="75">
        <f t="shared" si="172"/>
        <v>10335158</v>
      </c>
      <c r="CY117" s="75">
        <f t="shared" si="190"/>
        <v>834047</v>
      </c>
      <c r="CZ117" s="75"/>
      <c r="DA117" s="75"/>
      <c r="DB117" s="75">
        <f t="shared" si="191"/>
        <v>0</v>
      </c>
      <c r="DC117" s="75"/>
      <c r="DD117" s="75">
        <f t="shared" si="192"/>
        <v>0</v>
      </c>
      <c r="DE117" s="75">
        <f t="shared" si="192"/>
        <v>0</v>
      </c>
      <c r="DF117" s="75"/>
      <c r="DG117" s="75">
        <f t="shared" si="193"/>
        <v>0</v>
      </c>
      <c r="DH117" s="75">
        <f t="shared" si="193"/>
        <v>0</v>
      </c>
      <c r="DI117" s="75"/>
      <c r="DJ117" s="75">
        <f t="shared" si="194"/>
        <v>0</v>
      </c>
      <c r="DK117" s="75">
        <f t="shared" si="194"/>
        <v>0</v>
      </c>
      <c r="DL117" s="75">
        <f t="shared" si="194"/>
        <v>0</v>
      </c>
      <c r="DM117" s="75">
        <f t="shared" si="195"/>
        <v>203388</v>
      </c>
      <c r="DN117" s="75">
        <f t="shared" si="182"/>
        <v>9297723</v>
      </c>
      <c r="DO117" s="75">
        <f t="shared" si="196"/>
        <v>0</v>
      </c>
      <c r="DP117" s="75">
        <f t="shared" si="196"/>
        <v>0</v>
      </c>
      <c r="DQ117" s="75"/>
      <c r="DR117" s="75">
        <f t="shared" si="197"/>
        <v>0</v>
      </c>
    </row>
    <row r="118" spans="1:123" ht="36" hidden="1" customHeight="1" x14ac:dyDescent="0.3">
      <c r="A118" s="258"/>
      <c r="B118" s="271"/>
      <c r="C118" s="272" t="s">
        <v>173</v>
      </c>
      <c r="D118" s="272" t="s">
        <v>172</v>
      </c>
      <c r="E118" s="273">
        <v>301</v>
      </c>
      <c r="F118" s="181" t="s">
        <v>166</v>
      </c>
      <c r="G118" s="228"/>
      <c r="H118" s="79">
        <f t="shared" si="156"/>
        <v>10435017</v>
      </c>
      <c r="I118" s="79">
        <f t="shared" si="157"/>
        <v>4564983</v>
      </c>
      <c r="J118" s="78"/>
      <c r="K118" s="78"/>
      <c r="L118" s="78"/>
      <c r="M118" s="75">
        <f t="shared" si="158"/>
        <v>15000000</v>
      </c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>
        <v>15000000</v>
      </c>
      <c r="AE118" s="75"/>
      <c r="AF118" s="75"/>
      <c r="AG118" s="75"/>
      <c r="AI118" s="25">
        <f t="shared" si="159"/>
        <v>1</v>
      </c>
      <c r="AJ118" s="75">
        <f t="shared" si="160"/>
        <v>15000000</v>
      </c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>
        <f>+'[9]ENERO 2015'!$W$362</f>
        <v>15000000</v>
      </c>
      <c r="BB118" s="75"/>
      <c r="BC118" s="75"/>
      <c r="BD118" s="75"/>
      <c r="BE118" s="25">
        <f t="shared" si="161"/>
        <v>0</v>
      </c>
      <c r="BF118" s="75">
        <f t="shared" si="162"/>
        <v>0</v>
      </c>
      <c r="BG118" s="75">
        <f t="shared" si="183"/>
        <v>0</v>
      </c>
      <c r="BH118" s="75">
        <f t="shared" si="184"/>
        <v>0</v>
      </c>
      <c r="BI118" s="75"/>
      <c r="BJ118" s="75">
        <f t="shared" si="185"/>
        <v>0</v>
      </c>
      <c r="BK118" s="75"/>
      <c r="BL118" s="75">
        <f t="shared" si="186"/>
        <v>0</v>
      </c>
      <c r="BM118" s="75">
        <f t="shared" si="186"/>
        <v>0</v>
      </c>
      <c r="BN118" s="75"/>
      <c r="BO118" s="75"/>
      <c r="BP118" s="75"/>
      <c r="BQ118" s="75"/>
      <c r="BR118" s="75">
        <f t="shared" si="198"/>
        <v>0</v>
      </c>
      <c r="BS118" s="75">
        <f t="shared" si="198"/>
        <v>0</v>
      </c>
      <c r="BT118" s="75">
        <f t="shared" si="198"/>
        <v>0</v>
      </c>
      <c r="BU118" s="75">
        <f t="shared" si="198"/>
        <v>0</v>
      </c>
      <c r="BV118" s="75">
        <f t="shared" si="181"/>
        <v>0</v>
      </c>
      <c r="BW118" s="75">
        <f t="shared" si="188"/>
        <v>0</v>
      </c>
      <c r="BX118" s="75"/>
      <c r="BY118" s="75"/>
      <c r="BZ118" s="75">
        <f t="shared" si="189"/>
        <v>0</v>
      </c>
      <c r="CA118" s="25">
        <f t="shared" si="169"/>
        <v>0.69566779999999995</v>
      </c>
      <c r="CB118" s="75">
        <f t="shared" si="170"/>
        <v>10435017</v>
      </c>
      <c r="CC118" s="75"/>
      <c r="CD118" s="75"/>
      <c r="CE118" s="75"/>
      <c r="CF118" s="75"/>
      <c r="CG118" s="75"/>
      <c r="CH118" s="75"/>
      <c r="CI118" s="75"/>
      <c r="CJ118" s="75"/>
      <c r="CK118" s="75"/>
      <c r="CL118" s="75"/>
      <c r="CM118" s="75"/>
      <c r="CN118" s="75"/>
      <c r="CO118" s="75"/>
      <c r="CP118" s="75"/>
      <c r="CQ118" s="75"/>
      <c r="CR118" s="75"/>
      <c r="CS118" s="75">
        <f>+'[1]AGOSTO 2015'!$H$1074</f>
        <v>10435017</v>
      </c>
      <c r="CT118" s="75"/>
      <c r="CU118" s="75"/>
      <c r="CV118" s="75"/>
      <c r="CW118" s="25">
        <f t="shared" si="171"/>
        <v>0.30433220000000005</v>
      </c>
      <c r="CX118" s="75">
        <f t="shared" si="172"/>
        <v>4564983</v>
      </c>
      <c r="CY118" s="75">
        <f t="shared" si="190"/>
        <v>0</v>
      </c>
      <c r="CZ118" s="75"/>
      <c r="DA118" s="75"/>
      <c r="DB118" s="75">
        <f t="shared" si="191"/>
        <v>0</v>
      </c>
      <c r="DC118" s="75"/>
      <c r="DD118" s="75">
        <f t="shared" si="192"/>
        <v>0</v>
      </c>
      <c r="DE118" s="75">
        <f t="shared" si="192"/>
        <v>0</v>
      </c>
      <c r="DF118" s="75"/>
      <c r="DG118" s="75">
        <f t="shared" si="193"/>
        <v>0</v>
      </c>
      <c r="DH118" s="75">
        <f t="shared" si="193"/>
        <v>0</v>
      </c>
      <c r="DI118" s="75"/>
      <c r="DJ118" s="75">
        <f t="shared" si="194"/>
        <v>0</v>
      </c>
      <c r="DK118" s="75">
        <f t="shared" si="194"/>
        <v>0</v>
      </c>
      <c r="DL118" s="75">
        <f t="shared" si="194"/>
        <v>0</v>
      </c>
      <c r="DM118" s="75">
        <f t="shared" si="195"/>
        <v>0</v>
      </c>
      <c r="DN118" s="75">
        <f t="shared" si="182"/>
        <v>0</v>
      </c>
      <c r="DO118" s="75">
        <f t="shared" si="196"/>
        <v>4564983</v>
      </c>
      <c r="DP118" s="75">
        <f t="shared" si="196"/>
        <v>0</v>
      </c>
      <c r="DQ118" s="75"/>
      <c r="DR118" s="75">
        <f t="shared" si="197"/>
        <v>0</v>
      </c>
    </row>
    <row r="119" spans="1:123" ht="33" hidden="1" customHeight="1" x14ac:dyDescent="0.3">
      <c r="A119" s="258"/>
      <c r="B119" s="271"/>
      <c r="C119" s="272" t="s">
        <v>171</v>
      </c>
      <c r="D119" s="272" t="s">
        <v>170</v>
      </c>
      <c r="E119" s="273">
        <v>301</v>
      </c>
      <c r="F119" s="181" t="s">
        <v>166</v>
      </c>
      <c r="G119" s="229"/>
      <c r="H119" s="79">
        <f t="shared" si="156"/>
        <v>118560400</v>
      </c>
      <c r="I119" s="79">
        <f t="shared" si="157"/>
        <v>34239600</v>
      </c>
      <c r="J119" s="78"/>
      <c r="K119" s="78"/>
      <c r="L119" s="78"/>
      <c r="M119" s="75">
        <f t="shared" si="158"/>
        <v>152800000</v>
      </c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>
        <v>137800000</v>
      </c>
      <c r="AC119" s="75"/>
      <c r="AD119" s="75">
        <v>15000000</v>
      </c>
      <c r="AE119" s="75"/>
      <c r="AF119" s="75"/>
      <c r="AG119" s="75"/>
      <c r="AI119" s="25">
        <f t="shared" si="159"/>
        <v>1</v>
      </c>
      <c r="AJ119" s="75">
        <f t="shared" si="160"/>
        <v>152800000</v>
      </c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>
        <f>+'[5]FEBRERO 2015'!$W$469</f>
        <v>137800000</v>
      </c>
      <c r="AZ119" s="75"/>
      <c r="BA119" s="75">
        <f>+'[9]ENERO 2015'!$W$367</f>
        <v>15000000</v>
      </c>
      <c r="BB119" s="75"/>
      <c r="BC119" s="75"/>
      <c r="BD119" s="75"/>
      <c r="BE119" s="25">
        <f t="shared" si="161"/>
        <v>0</v>
      </c>
      <c r="BF119" s="75">
        <f t="shared" si="162"/>
        <v>0</v>
      </c>
      <c r="BG119" s="75">
        <f t="shared" si="183"/>
        <v>0</v>
      </c>
      <c r="BH119" s="75">
        <f t="shared" si="184"/>
        <v>0</v>
      </c>
      <c r="BI119" s="75"/>
      <c r="BJ119" s="75">
        <f t="shared" si="185"/>
        <v>0</v>
      </c>
      <c r="BK119" s="75"/>
      <c r="BL119" s="75">
        <f t="shared" si="186"/>
        <v>0</v>
      </c>
      <c r="BM119" s="75">
        <f t="shared" si="186"/>
        <v>0</v>
      </c>
      <c r="BN119" s="75"/>
      <c r="BO119" s="75"/>
      <c r="BP119" s="75"/>
      <c r="BQ119" s="75"/>
      <c r="BR119" s="75">
        <f t="shared" si="198"/>
        <v>0</v>
      </c>
      <c r="BS119" s="75">
        <f t="shared" si="198"/>
        <v>0</v>
      </c>
      <c r="BT119" s="75">
        <f t="shared" si="198"/>
        <v>0</v>
      </c>
      <c r="BU119" s="75">
        <f t="shared" si="198"/>
        <v>0</v>
      </c>
      <c r="BV119" s="75">
        <f t="shared" si="181"/>
        <v>0</v>
      </c>
      <c r="BW119" s="75">
        <f t="shared" si="188"/>
        <v>0</v>
      </c>
      <c r="BX119" s="75"/>
      <c r="BY119" s="75"/>
      <c r="BZ119" s="75">
        <f t="shared" si="189"/>
        <v>0</v>
      </c>
      <c r="CA119" s="25">
        <f t="shared" si="169"/>
        <v>0.77591884816753931</v>
      </c>
      <c r="CB119" s="75">
        <f t="shared" si="170"/>
        <v>118560400</v>
      </c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>
        <f>+'[1]AGOSTO 2015'!$H$1093</f>
        <v>115983000</v>
      </c>
      <c r="CR119" s="75"/>
      <c r="CS119" s="75">
        <f>+'[7]MAYO 2015'!$H$689</f>
        <v>2577400</v>
      </c>
      <c r="CT119" s="75"/>
      <c r="CU119" s="75"/>
      <c r="CV119" s="75"/>
      <c r="CW119" s="25">
        <f t="shared" si="171"/>
        <v>0.22408115183246069</v>
      </c>
      <c r="CX119" s="75">
        <f t="shared" si="172"/>
        <v>34239600</v>
      </c>
      <c r="CY119" s="75">
        <f t="shared" si="190"/>
        <v>0</v>
      </c>
      <c r="CZ119" s="75"/>
      <c r="DA119" s="75"/>
      <c r="DB119" s="75">
        <f t="shared" si="191"/>
        <v>0</v>
      </c>
      <c r="DC119" s="75"/>
      <c r="DD119" s="75">
        <f t="shared" si="192"/>
        <v>0</v>
      </c>
      <c r="DE119" s="75">
        <f t="shared" si="192"/>
        <v>0</v>
      </c>
      <c r="DF119" s="75"/>
      <c r="DG119" s="75">
        <f t="shared" si="193"/>
        <v>0</v>
      </c>
      <c r="DH119" s="75">
        <f t="shared" si="193"/>
        <v>0</v>
      </c>
      <c r="DI119" s="75"/>
      <c r="DJ119" s="75">
        <f t="shared" si="194"/>
        <v>0</v>
      </c>
      <c r="DK119" s="75">
        <f t="shared" si="194"/>
        <v>0</v>
      </c>
      <c r="DL119" s="75">
        <f t="shared" si="194"/>
        <v>0</v>
      </c>
      <c r="DM119" s="75">
        <f t="shared" si="195"/>
        <v>21817000</v>
      </c>
      <c r="DN119" s="75">
        <f t="shared" si="182"/>
        <v>0</v>
      </c>
      <c r="DO119" s="75">
        <f t="shared" si="196"/>
        <v>12422600</v>
      </c>
      <c r="DP119" s="75">
        <f t="shared" si="196"/>
        <v>0</v>
      </c>
      <c r="DQ119" s="75"/>
      <c r="DR119" s="75">
        <f t="shared" si="197"/>
        <v>0</v>
      </c>
    </row>
    <row r="120" spans="1:123" ht="27.75" hidden="1" customHeight="1" x14ac:dyDescent="0.3">
      <c r="A120" s="258"/>
      <c r="B120" s="271" t="s">
        <v>169</v>
      </c>
      <c r="C120" s="272" t="s">
        <v>168</v>
      </c>
      <c r="D120" s="272" t="s">
        <v>167</v>
      </c>
      <c r="E120" s="273">
        <v>301</v>
      </c>
      <c r="F120" s="181" t="s">
        <v>166</v>
      </c>
      <c r="G120" s="78">
        <v>50000000</v>
      </c>
      <c r="H120" s="79">
        <f t="shared" si="156"/>
        <v>42473434</v>
      </c>
      <c r="I120" s="79">
        <f t="shared" si="157"/>
        <v>7526566</v>
      </c>
      <c r="J120" s="78"/>
      <c r="K120" s="78"/>
      <c r="L120" s="78"/>
      <c r="M120" s="75">
        <f t="shared" si="158"/>
        <v>50000000</v>
      </c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>
        <v>50000000</v>
      </c>
      <c r="AB120" s="75"/>
      <c r="AC120" s="75"/>
      <c r="AD120" s="75"/>
      <c r="AE120" s="75"/>
      <c r="AF120" s="75"/>
      <c r="AG120" s="75"/>
      <c r="AI120" s="25">
        <f t="shared" si="159"/>
        <v>1</v>
      </c>
      <c r="AJ120" s="75">
        <f t="shared" si="160"/>
        <v>50000000</v>
      </c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>
        <f>+'[9]ENERO 2015'!$T$374</f>
        <v>50000000</v>
      </c>
      <c r="AY120" s="75"/>
      <c r="AZ120" s="75"/>
      <c r="BA120" s="75"/>
      <c r="BB120" s="75"/>
      <c r="BC120" s="75"/>
      <c r="BD120" s="75"/>
      <c r="BE120" s="25">
        <f t="shared" si="161"/>
        <v>0</v>
      </c>
      <c r="BF120" s="75">
        <f t="shared" si="162"/>
        <v>0</v>
      </c>
      <c r="BG120" s="75">
        <f t="shared" si="183"/>
        <v>0</v>
      </c>
      <c r="BH120" s="75">
        <f t="shared" si="184"/>
        <v>0</v>
      </c>
      <c r="BI120" s="75"/>
      <c r="BJ120" s="75">
        <f t="shared" si="185"/>
        <v>0</v>
      </c>
      <c r="BK120" s="75"/>
      <c r="BL120" s="75">
        <f t="shared" si="186"/>
        <v>0</v>
      </c>
      <c r="BM120" s="75">
        <f t="shared" si="186"/>
        <v>0</v>
      </c>
      <c r="BN120" s="75"/>
      <c r="BO120" s="75"/>
      <c r="BP120" s="75"/>
      <c r="BQ120" s="75"/>
      <c r="BR120" s="75">
        <f t="shared" si="198"/>
        <v>0</v>
      </c>
      <c r="BS120" s="75">
        <f t="shared" si="198"/>
        <v>0</v>
      </c>
      <c r="BT120" s="75">
        <f t="shared" si="198"/>
        <v>0</v>
      </c>
      <c r="BU120" s="75">
        <f t="shared" si="198"/>
        <v>0</v>
      </c>
      <c r="BV120" s="75">
        <f t="shared" si="181"/>
        <v>0</v>
      </c>
      <c r="BW120" s="75">
        <f t="shared" si="188"/>
        <v>0</v>
      </c>
      <c r="BX120" s="75"/>
      <c r="BY120" s="75"/>
      <c r="BZ120" s="75">
        <f t="shared" si="189"/>
        <v>0</v>
      </c>
      <c r="CA120" s="25">
        <f t="shared" si="169"/>
        <v>0.84946867999999998</v>
      </c>
      <c r="CB120" s="75">
        <f t="shared" si="170"/>
        <v>42473434</v>
      </c>
      <c r="CC120" s="75"/>
      <c r="CD120" s="75"/>
      <c r="CE120" s="75"/>
      <c r="CF120" s="75"/>
      <c r="CG120" s="75"/>
      <c r="CH120" s="75"/>
      <c r="CI120" s="75"/>
      <c r="CJ120" s="75"/>
      <c r="CK120" s="75"/>
      <c r="CL120" s="75"/>
      <c r="CM120" s="75"/>
      <c r="CN120" s="75"/>
      <c r="CO120" s="75"/>
      <c r="CP120" s="75">
        <f>+'[1]AGOSTO 2015'!$H$1135</f>
        <v>42473434</v>
      </c>
      <c r="CQ120" s="75"/>
      <c r="CR120" s="75"/>
      <c r="CS120" s="75"/>
      <c r="CT120" s="75"/>
      <c r="CU120" s="75"/>
      <c r="CV120" s="75"/>
      <c r="CW120" s="25">
        <f t="shared" si="171"/>
        <v>0.15053132000000002</v>
      </c>
      <c r="CX120" s="75">
        <f t="shared" si="172"/>
        <v>7526566</v>
      </c>
      <c r="CY120" s="75">
        <f t="shared" si="190"/>
        <v>0</v>
      </c>
      <c r="CZ120" s="75"/>
      <c r="DA120" s="75"/>
      <c r="DB120" s="75">
        <f t="shared" si="191"/>
        <v>0</v>
      </c>
      <c r="DC120" s="75"/>
      <c r="DD120" s="75">
        <f t="shared" si="192"/>
        <v>0</v>
      </c>
      <c r="DE120" s="75">
        <f t="shared" si="192"/>
        <v>0</v>
      </c>
      <c r="DF120" s="75"/>
      <c r="DG120" s="75">
        <f t="shared" si="193"/>
        <v>0</v>
      </c>
      <c r="DH120" s="75">
        <f t="shared" si="193"/>
        <v>0</v>
      </c>
      <c r="DI120" s="75"/>
      <c r="DJ120" s="75">
        <f t="shared" si="194"/>
        <v>0</v>
      </c>
      <c r="DK120" s="75">
        <f t="shared" si="194"/>
        <v>0</v>
      </c>
      <c r="DL120" s="75">
        <f t="shared" si="194"/>
        <v>7526566</v>
      </c>
      <c r="DM120" s="75">
        <f t="shared" si="195"/>
        <v>0</v>
      </c>
      <c r="DN120" s="75">
        <f t="shared" si="182"/>
        <v>0</v>
      </c>
      <c r="DO120" s="75">
        <f t="shared" si="196"/>
        <v>0</v>
      </c>
      <c r="DP120" s="75">
        <f t="shared" si="196"/>
        <v>0</v>
      </c>
      <c r="DQ120" s="75"/>
      <c r="DR120" s="75">
        <f t="shared" si="197"/>
        <v>0</v>
      </c>
    </row>
    <row r="121" spans="1:123" s="68" customFormat="1" ht="24" customHeight="1" thickTop="1" thickBot="1" x14ac:dyDescent="0.3">
      <c r="A121" s="95"/>
      <c r="B121" s="276" t="s">
        <v>569</v>
      </c>
      <c r="C121" s="277"/>
      <c r="D121" s="277"/>
      <c r="E121" s="278"/>
      <c r="F121" s="181"/>
      <c r="G121" s="69">
        <f>SUM(G105:G120)</f>
        <v>1952000000</v>
      </c>
      <c r="H121" s="69">
        <f>SUM(H105:H120)</f>
        <v>1889977571</v>
      </c>
      <c r="I121" s="69">
        <f>SUM(I105:I120)</f>
        <v>623509315</v>
      </c>
      <c r="J121" s="94"/>
      <c r="K121" s="94"/>
      <c r="L121" s="94"/>
      <c r="M121" s="69">
        <f t="shared" ref="M121:AG121" si="199">SUM(M105:M120)</f>
        <v>2513486886</v>
      </c>
      <c r="N121" s="69">
        <f t="shared" si="199"/>
        <v>104079469</v>
      </c>
      <c r="O121" s="69">
        <f t="shared" si="199"/>
        <v>0</v>
      </c>
      <c r="P121" s="69">
        <f t="shared" si="199"/>
        <v>0</v>
      </c>
      <c r="Q121" s="69">
        <f t="shared" si="199"/>
        <v>0</v>
      </c>
      <c r="R121" s="69">
        <f t="shared" si="199"/>
        <v>0</v>
      </c>
      <c r="S121" s="69">
        <f t="shared" si="199"/>
        <v>0</v>
      </c>
      <c r="T121" s="69">
        <f t="shared" si="199"/>
        <v>0</v>
      </c>
      <c r="U121" s="69">
        <f t="shared" si="199"/>
        <v>0</v>
      </c>
      <c r="V121" s="69">
        <f t="shared" si="199"/>
        <v>0</v>
      </c>
      <c r="W121" s="69">
        <f t="shared" si="199"/>
        <v>0</v>
      </c>
      <c r="X121" s="69">
        <f t="shared" si="199"/>
        <v>0</v>
      </c>
      <c r="Y121" s="69">
        <f t="shared" si="199"/>
        <v>0</v>
      </c>
      <c r="Z121" s="69">
        <f t="shared" si="199"/>
        <v>0</v>
      </c>
      <c r="AA121" s="69">
        <f t="shared" si="199"/>
        <v>728406867</v>
      </c>
      <c r="AB121" s="69">
        <f t="shared" si="199"/>
        <v>346819196</v>
      </c>
      <c r="AC121" s="69">
        <f t="shared" si="199"/>
        <v>84573365</v>
      </c>
      <c r="AD121" s="69">
        <f t="shared" si="199"/>
        <v>1181607989</v>
      </c>
      <c r="AE121" s="69">
        <f t="shared" si="199"/>
        <v>0</v>
      </c>
      <c r="AF121" s="69">
        <f t="shared" si="199"/>
        <v>0</v>
      </c>
      <c r="AG121" s="69">
        <f t="shared" si="199"/>
        <v>68000000</v>
      </c>
      <c r="AI121" s="70">
        <f t="shared" si="159"/>
        <v>0.96501378125750048</v>
      </c>
      <c r="AJ121" s="69">
        <f>SUM(AJ105:AJ120)</f>
        <v>2425549484</v>
      </c>
      <c r="AK121" s="69">
        <f>SUM(AK105:AK120)</f>
        <v>103688299</v>
      </c>
      <c r="AL121" s="69">
        <f>SUM(AL105:AL120)</f>
        <v>0</v>
      </c>
      <c r="AM121" s="69"/>
      <c r="AN121" s="69">
        <f>SUM(AN105:AN120)</f>
        <v>0</v>
      </c>
      <c r="AO121" s="69"/>
      <c r="AP121" s="69">
        <f t="shared" ref="AP121:BD121" si="200">SUM(AP105:AP120)</f>
        <v>0</v>
      </c>
      <c r="AQ121" s="69">
        <f t="shared" si="200"/>
        <v>0</v>
      </c>
      <c r="AR121" s="69">
        <f t="shared" si="200"/>
        <v>0</v>
      </c>
      <c r="AS121" s="69">
        <f t="shared" si="200"/>
        <v>0</v>
      </c>
      <c r="AT121" s="69">
        <f t="shared" si="200"/>
        <v>0</v>
      </c>
      <c r="AU121" s="69">
        <f t="shared" si="200"/>
        <v>0</v>
      </c>
      <c r="AV121" s="69">
        <f t="shared" si="200"/>
        <v>0</v>
      </c>
      <c r="AW121" s="69">
        <f t="shared" si="200"/>
        <v>0</v>
      </c>
      <c r="AX121" s="69">
        <f t="shared" si="200"/>
        <v>709199167</v>
      </c>
      <c r="AY121" s="69">
        <f t="shared" si="200"/>
        <v>346819196</v>
      </c>
      <c r="AZ121" s="69">
        <f t="shared" si="200"/>
        <v>47034833</v>
      </c>
      <c r="BA121" s="69">
        <f t="shared" si="200"/>
        <v>1157607989</v>
      </c>
      <c r="BB121" s="69">
        <f t="shared" si="200"/>
        <v>0</v>
      </c>
      <c r="BC121" s="69">
        <f t="shared" si="200"/>
        <v>0</v>
      </c>
      <c r="BD121" s="69">
        <f t="shared" si="200"/>
        <v>61200000</v>
      </c>
      <c r="BE121" s="70">
        <f t="shared" si="161"/>
        <v>3.498621874249952E-2</v>
      </c>
      <c r="BF121" s="69">
        <f>SUM(BF105:BF120)</f>
        <v>87937402</v>
      </c>
      <c r="BG121" s="69">
        <f>SUM(BG105:BG120)</f>
        <v>391170</v>
      </c>
      <c r="BH121" s="69">
        <f>SUM(BH105:BH120)</f>
        <v>0</v>
      </c>
      <c r="BI121" s="69"/>
      <c r="BJ121" s="69">
        <f t="shared" ref="BJ121:BZ121" si="201">SUM(BJ105:BJ120)</f>
        <v>0</v>
      </c>
      <c r="BK121" s="69">
        <f t="shared" si="201"/>
        <v>0</v>
      </c>
      <c r="BL121" s="69">
        <f t="shared" si="201"/>
        <v>0</v>
      </c>
      <c r="BM121" s="69">
        <f t="shared" si="201"/>
        <v>0</v>
      </c>
      <c r="BN121" s="69">
        <f t="shared" si="201"/>
        <v>0</v>
      </c>
      <c r="BO121" s="69">
        <f t="shared" si="201"/>
        <v>0</v>
      </c>
      <c r="BP121" s="69">
        <f t="shared" si="201"/>
        <v>0</v>
      </c>
      <c r="BQ121" s="69">
        <f t="shared" si="201"/>
        <v>0</v>
      </c>
      <c r="BR121" s="69">
        <f t="shared" si="201"/>
        <v>0</v>
      </c>
      <c r="BS121" s="69">
        <f t="shared" si="201"/>
        <v>0</v>
      </c>
      <c r="BT121" s="69">
        <f t="shared" si="201"/>
        <v>19207700</v>
      </c>
      <c r="BU121" s="69">
        <f t="shared" si="201"/>
        <v>0</v>
      </c>
      <c r="BV121" s="69">
        <f t="shared" si="201"/>
        <v>37538532</v>
      </c>
      <c r="BW121" s="69">
        <f t="shared" si="201"/>
        <v>24000000</v>
      </c>
      <c r="BX121" s="69">
        <f t="shared" si="201"/>
        <v>0</v>
      </c>
      <c r="BY121" s="69">
        <f t="shared" si="201"/>
        <v>0</v>
      </c>
      <c r="BZ121" s="69">
        <f t="shared" si="201"/>
        <v>6800000</v>
      </c>
      <c r="CA121" s="70">
        <f t="shared" si="169"/>
        <v>0.75193452630570046</v>
      </c>
      <c r="CB121" s="69">
        <f>SUM(CB105:CB120)</f>
        <v>1889977571</v>
      </c>
      <c r="CC121" s="69">
        <f>SUM(CC105:CC120)</f>
        <v>44765799</v>
      </c>
      <c r="CD121" s="69">
        <f>SUM(CD105:CD120)</f>
        <v>0</v>
      </c>
      <c r="CE121" s="69"/>
      <c r="CF121" s="69">
        <f>SUM(CF105:CF120)</f>
        <v>0</v>
      </c>
      <c r="CG121" s="69"/>
      <c r="CH121" s="69">
        <f>SUM(CH105:CH120)</f>
        <v>0</v>
      </c>
      <c r="CI121" s="69">
        <f>SUM(CI105:CI120)</f>
        <v>0</v>
      </c>
      <c r="CJ121" s="69"/>
      <c r="CK121" s="69">
        <f t="shared" ref="CK121:CV121" si="202">SUM(CK105:CK120)</f>
        <v>0</v>
      </c>
      <c r="CL121" s="69">
        <f t="shared" si="202"/>
        <v>0</v>
      </c>
      <c r="CM121" s="69">
        <f t="shared" si="202"/>
        <v>0</v>
      </c>
      <c r="CN121" s="69">
        <f t="shared" si="202"/>
        <v>0</v>
      </c>
      <c r="CO121" s="69">
        <f t="shared" si="202"/>
        <v>0</v>
      </c>
      <c r="CP121" s="69">
        <f t="shared" si="202"/>
        <v>436355867</v>
      </c>
      <c r="CQ121" s="69">
        <f t="shared" si="202"/>
        <v>324798808</v>
      </c>
      <c r="CR121" s="69">
        <f t="shared" si="202"/>
        <v>38290498</v>
      </c>
      <c r="CS121" s="69">
        <f t="shared" si="202"/>
        <v>1016162182</v>
      </c>
      <c r="CT121" s="69">
        <f t="shared" si="202"/>
        <v>0</v>
      </c>
      <c r="CU121" s="69">
        <f t="shared" si="202"/>
        <v>0</v>
      </c>
      <c r="CV121" s="69">
        <f t="shared" si="202"/>
        <v>29604417</v>
      </c>
      <c r="CW121" s="70">
        <f t="shared" si="171"/>
        <v>0.24806547369429954</v>
      </c>
      <c r="CX121" s="69">
        <f>SUM(CX105:CX120)</f>
        <v>623509315</v>
      </c>
      <c r="CY121" s="69">
        <f>SUM(CY105:CY120)</f>
        <v>59313670</v>
      </c>
      <c r="CZ121" s="69">
        <f>SUM(CZ105:CZ120)</f>
        <v>0</v>
      </c>
      <c r="DA121" s="69"/>
      <c r="DB121" s="69">
        <f t="shared" ref="DB121:DR121" si="203">SUM(DB105:DB120)</f>
        <v>0</v>
      </c>
      <c r="DC121" s="69">
        <f t="shared" si="203"/>
        <v>0</v>
      </c>
      <c r="DD121" s="69">
        <f t="shared" si="203"/>
        <v>0</v>
      </c>
      <c r="DE121" s="69">
        <f t="shared" si="203"/>
        <v>0</v>
      </c>
      <c r="DF121" s="69">
        <f t="shared" si="203"/>
        <v>0</v>
      </c>
      <c r="DG121" s="69">
        <f t="shared" si="203"/>
        <v>0</v>
      </c>
      <c r="DH121" s="69">
        <f t="shared" si="203"/>
        <v>0</v>
      </c>
      <c r="DI121" s="69">
        <f t="shared" si="203"/>
        <v>0</v>
      </c>
      <c r="DJ121" s="69">
        <f t="shared" si="203"/>
        <v>0</v>
      </c>
      <c r="DK121" s="69">
        <f t="shared" si="203"/>
        <v>0</v>
      </c>
      <c r="DL121" s="69">
        <f t="shared" si="203"/>
        <v>292051000</v>
      </c>
      <c r="DM121" s="69">
        <f t="shared" si="203"/>
        <v>22020388</v>
      </c>
      <c r="DN121" s="69">
        <f t="shared" si="203"/>
        <v>46282867</v>
      </c>
      <c r="DO121" s="69">
        <f t="shared" si="203"/>
        <v>165445807</v>
      </c>
      <c r="DP121" s="69">
        <f t="shared" si="203"/>
        <v>0</v>
      </c>
      <c r="DQ121" s="69">
        <f t="shared" si="203"/>
        <v>0</v>
      </c>
      <c r="DR121" s="93">
        <f t="shared" si="203"/>
        <v>38395583</v>
      </c>
    </row>
    <row r="122" spans="1:123" ht="67.5" hidden="1" customHeight="1" thickTop="1" x14ac:dyDescent="0.3">
      <c r="A122" s="246" t="s">
        <v>164</v>
      </c>
      <c r="B122" s="271" t="s">
        <v>163</v>
      </c>
      <c r="C122" s="272" t="s">
        <v>162</v>
      </c>
      <c r="D122" s="272" t="s">
        <v>161</v>
      </c>
      <c r="E122" s="273">
        <v>510</v>
      </c>
      <c r="F122" s="181" t="s">
        <v>158</v>
      </c>
      <c r="G122" s="240">
        <v>10000000</v>
      </c>
      <c r="H122" s="79">
        <f t="shared" ref="H122:H153" si="204">+CB122</f>
        <v>3000000</v>
      </c>
      <c r="I122" s="79">
        <f t="shared" ref="I122:I153" si="205">M122-H122</f>
        <v>0</v>
      </c>
      <c r="J122" s="78"/>
      <c r="K122" s="78"/>
      <c r="L122" s="78"/>
      <c r="M122" s="75">
        <f t="shared" ref="M122:M153" si="206">SUM(N122:AG122)</f>
        <v>3000000</v>
      </c>
      <c r="N122" s="75"/>
      <c r="O122" s="75"/>
      <c r="P122" s="75"/>
      <c r="Q122" s="75"/>
      <c r="R122" s="75"/>
      <c r="S122" s="75">
        <v>3000000</v>
      </c>
      <c r="T122" s="75"/>
      <c r="U122" s="75"/>
      <c r="V122" s="75"/>
      <c r="W122" s="75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I122" s="25">
        <f t="shared" si="159"/>
        <v>1</v>
      </c>
      <c r="AJ122" s="75">
        <f t="shared" ref="AJ122:AJ153" si="207">SUM(AK122:BD122)</f>
        <v>3000000</v>
      </c>
      <c r="AK122" s="75"/>
      <c r="AL122" s="75"/>
      <c r="AM122" s="75"/>
      <c r="AN122" s="75"/>
      <c r="AO122" s="75"/>
      <c r="AP122" s="75">
        <f>+'[4]MARZO 2015'!$N$1116</f>
        <v>3000000</v>
      </c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25">
        <f t="shared" si="161"/>
        <v>0</v>
      </c>
      <c r="BF122" s="75">
        <f t="shared" ref="BF122:BF153" si="208">SUM(BG122:BZ122)</f>
        <v>0</v>
      </c>
      <c r="BG122" s="75">
        <f t="shared" ref="BG122:BG142" si="209">+N122-AK122</f>
        <v>0</v>
      </c>
      <c r="BH122" s="75">
        <f t="shared" ref="BH122:BH142" si="210">O122-AL122</f>
        <v>0</v>
      </c>
      <c r="BI122" s="75"/>
      <c r="BJ122" s="75">
        <f t="shared" ref="BJ122:BJ142" si="211">Q122-AN122</f>
        <v>0</v>
      </c>
      <c r="BK122" s="75">
        <f t="shared" ref="BK122:BK142" si="212">R122-AO122</f>
        <v>0</v>
      </c>
      <c r="BL122" s="75">
        <f t="shared" ref="BL122:BL142" si="213">+S122-AP122</f>
        <v>0</v>
      </c>
      <c r="BM122" s="75">
        <f t="shared" ref="BM122:BM142" si="214">+T122-AQ122</f>
        <v>0</v>
      </c>
      <c r="BN122" s="75"/>
      <c r="BO122" s="75">
        <f t="shared" ref="BO122:BO142" si="215">+V122-AS122</f>
        <v>0</v>
      </c>
      <c r="BP122" s="75">
        <f t="shared" ref="BP122:BP142" si="216">+W122-AT122</f>
        <v>0</v>
      </c>
      <c r="BQ122" s="75">
        <f t="shared" ref="BQ122:BQ142" si="217">+X122-AU122</f>
        <v>0</v>
      </c>
      <c r="BR122" s="75">
        <f t="shared" ref="BR122:BR142" si="218">+Y122-AV122</f>
        <v>0</v>
      </c>
      <c r="BS122" s="75">
        <f t="shared" ref="BS122:BS142" si="219">+Z122-AW122</f>
        <v>0</v>
      </c>
      <c r="BT122" s="75">
        <f t="shared" ref="BT122:BT142" si="220">+AA122-AX122</f>
        <v>0</v>
      </c>
      <c r="BU122" s="75">
        <f t="shared" ref="BU122:BU142" si="221">+AB122-AY122</f>
        <v>0</v>
      </c>
      <c r="BV122" s="75">
        <f t="shared" ref="BV122:BV142" si="222">+AC122-AZ122</f>
        <v>0</v>
      </c>
      <c r="BW122" s="75">
        <f t="shared" ref="BW122:BW142" si="223">+AD122-BA122</f>
        <v>0</v>
      </c>
      <c r="BX122" s="75"/>
      <c r="BY122" s="75"/>
      <c r="BZ122" s="75">
        <f t="shared" ref="BZ122:BZ142" si="224">+AG122-BD122</f>
        <v>0</v>
      </c>
      <c r="CA122" s="25">
        <f t="shared" si="169"/>
        <v>1</v>
      </c>
      <c r="CB122" s="75">
        <f t="shared" ref="CB122:CB153" si="225">SUM(CC122:CV122)</f>
        <v>3000000</v>
      </c>
      <c r="CC122" s="75"/>
      <c r="CD122" s="75"/>
      <c r="CE122" s="75"/>
      <c r="CF122" s="75"/>
      <c r="CG122" s="75"/>
      <c r="CH122" s="75">
        <f>+'[4]MARZO 2015'!$H$1117</f>
        <v>3000000</v>
      </c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25">
        <f t="shared" si="171"/>
        <v>0</v>
      </c>
      <c r="CX122" s="75">
        <f t="shared" ref="CX122:CX153" si="226">SUM(CY122:DR122)</f>
        <v>0</v>
      </c>
      <c r="CY122" s="75"/>
      <c r="CZ122" s="75"/>
      <c r="DA122" s="75"/>
      <c r="DB122" s="75">
        <f t="shared" ref="DB122:DB142" si="227">Q122-CF122</f>
        <v>0</v>
      </c>
      <c r="DC122" s="75">
        <f t="shared" ref="DC122:DC142" si="228">R122-CG122</f>
        <v>0</v>
      </c>
      <c r="DD122" s="75">
        <f t="shared" ref="DD122:DD142" si="229">S122-CH122</f>
        <v>0</v>
      </c>
      <c r="DE122" s="75">
        <f t="shared" ref="DE122:DE142" si="230">T122-CI122</f>
        <v>0</v>
      </c>
      <c r="DF122" s="75"/>
      <c r="DG122" s="75">
        <f t="shared" ref="DG122:DG142" si="231">+V122-CK122</f>
        <v>0</v>
      </c>
      <c r="DH122" s="75">
        <f t="shared" ref="DH122:DH142" si="232">+W122-CL122</f>
        <v>0</v>
      </c>
      <c r="DI122" s="75"/>
      <c r="DJ122" s="75">
        <f t="shared" ref="DJ122:DJ142" si="233">Y122-CN122</f>
        <v>0</v>
      </c>
      <c r="DK122" s="75">
        <f t="shared" ref="DK122:DK142" si="234">Z122-CO122</f>
        <v>0</v>
      </c>
      <c r="DL122" s="75">
        <f t="shared" ref="DL122:DL142" si="235">AA122-CP122</f>
        <v>0</v>
      </c>
      <c r="DM122" s="75">
        <f t="shared" ref="DM122:DM142" si="236">+AB122-CQ122</f>
        <v>0</v>
      </c>
      <c r="DN122" s="75">
        <f t="shared" ref="DN122:DN142" si="237">+AC122-CR122</f>
        <v>0</v>
      </c>
      <c r="DO122" s="75">
        <f t="shared" ref="DO122:DO142" si="238">+AD122-CS122</f>
        <v>0</v>
      </c>
      <c r="DP122" s="75">
        <f t="shared" ref="DP122:DP142" si="239">+AE122-CT122</f>
        <v>0</v>
      </c>
      <c r="DQ122" s="75"/>
      <c r="DR122" s="75">
        <f t="shared" ref="DR122:DR142" si="240">+AG122-CV122</f>
        <v>0</v>
      </c>
    </row>
    <row r="123" spans="1:123" ht="68.25" hidden="1" customHeight="1" x14ac:dyDescent="0.3">
      <c r="A123" s="246"/>
      <c r="B123" s="271"/>
      <c r="C123" s="272" t="s">
        <v>160</v>
      </c>
      <c r="D123" s="272" t="s">
        <v>159</v>
      </c>
      <c r="E123" s="273">
        <v>510</v>
      </c>
      <c r="F123" s="181" t="s">
        <v>158</v>
      </c>
      <c r="G123" s="229"/>
      <c r="H123" s="79">
        <f t="shared" si="204"/>
        <v>6828964</v>
      </c>
      <c r="I123" s="79">
        <f t="shared" si="205"/>
        <v>171036</v>
      </c>
      <c r="J123" s="78"/>
      <c r="K123" s="78"/>
      <c r="L123" s="78"/>
      <c r="M123" s="75">
        <f t="shared" si="206"/>
        <v>7000000</v>
      </c>
      <c r="N123" s="75"/>
      <c r="O123" s="75"/>
      <c r="P123" s="75"/>
      <c r="Q123" s="75"/>
      <c r="R123" s="75"/>
      <c r="S123" s="75">
        <v>7000000</v>
      </c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90"/>
      <c r="AI123" s="25">
        <f t="shared" si="159"/>
        <v>0.97557142857142853</v>
      </c>
      <c r="AJ123" s="75">
        <f t="shared" si="207"/>
        <v>6829000</v>
      </c>
      <c r="AK123" s="75"/>
      <c r="AL123" s="75"/>
      <c r="AM123" s="75"/>
      <c r="AN123" s="75"/>
      <c r="AO123" s="75"/>
      <c r="AP123" s="75">
        <f>+'[4]MARZO 2015'!$N$1122</f>
        <v>6829000</v>
      </c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25">
        <f t="shared" si="161"/>
        <v>2.4428571428571466E-2</v>
      </c>
      <c r="BF123" s="75">
        <f t="shared" si="208"/>
        <v>171000</v>
      </c>
      <c r="BG123" s="75">
        <f t="shared" si="209"/>
        <v>0</v>
      </c>
      <c r="BH123" s="75">
        <f t="shared" si="210"/>
        <v>0</v>
      </c>
      <c r="BI123" s="75"/>
      <c r="BJ123" s="75">
        <f t="shared" si="211"/>
        <v>0</v>
      </c>
      <c r="BK123" s="75">
        <f t="shared" si="212"/>
        <v>0</v>
      </c>
      <c r="BL123" s="75">
        <f t="shared" si="213"/>
        <v>171000</v>
      </c>
      <c r="BM123" s="75">
        <f t="shared" si="214"/>
        <v>0</v>
      </c>
      <c r="BN123" s="75"/>
      <c r="BO123" s="75">
        <f t="shared" si="215"/>
        <v>0</v>
      </c>
      <c r="BP123" s="75">
        <f t="shared" si="216"/>
        <v>0</v>
      </c>
      <c r="BQ123" s="75">
        <f t="shared" si="217"/>
        <v>0</v>
      </c>
      <c r="BR123" s="75">
        <f t="shared" si="218"/>
        <v>0</v>
      </c>
      <c r="BS123" s="75">
        <f t="shared" si="219"/>
        <v>0</v>
      </c>
      <c r="BT123" s="75">
        <f t="shared" si="220"/>
        <v>0</v>
      </c>
      <c r="BU123" s="75">
        <f t="shared" si="221"/>
        <v>0</v>
      </c>
      <c r="BV123" s="75">
        <f t="shared" si="222"/>
        <v>0</v>
      </c>
      <c r="BW123" s="75">
        <f t="shared" si="223"/>
        <v>0</v>
      </c>
      <c r="BX123" s="75"/>
      <c r="BY123" s="75"/>
      <c r="BZ123" s="75">
        <f t="shared" si="224"/>
        <v>0</v>
      </c>
      <c r="CA123" s="25">
        <f t="shared" si="169"/>
        <v>0.97556628571428572</v>
      </c>
      <c r="CB123" s="75">
        <f t="shared" si="225"/>
        <v>6828964</v>
      </c>
      <c r="CC123" s="75"/>
      <c r="CD123" s="75"/>
      <c r="CE123" s="75"/>
      <c r="CF123" s="75"/>
      <c r="CG123" s="75"/>
      <c r="CH123" s="75">
        <f>+'[4]MARZO 2015'!$H$1120</f>
        <v>6828964</v>
      </c>
      <c r="CI123" s="75"/>
      <c r="CJ123" s="75"/>
      <c r="CK123" s="75"/>
      <c r="CL123" s="75"/>
      <c r="CM123" s="75"/>
      <c r="CN123" s="75"/>
      <c r="CO123" s="75"/>
      <c r="CP123" s="75"/>
      <c r="CQ123" s="75"/>
      <c r="CR123" s="75"/>
      <c r="CS123" s="75"/>
      <c r="CT123" s="75"/>
      <c r="CU123" s="75"/>
      <c r="CV123" s="75"/>
      <c r="CW123" s="25">
        <f t="shared" si="171"/>
        <v>2.4433714285714281E-2</v>
      </c>
      <c r="CX123" s="75">
        <f t="shared" si="226"/>
        <v>171036</v>
      </c>
      <c r="CY123" s="75"/>
      <c r="CZ123" s="75"/>
      <c r="DA123" s="75"/>
      <c r="DB123" s="75">
        <f t="shared" si="227"/>
        <v>0</v>
      </c>
      <c r="DC123" s="75">
        <f t="shared" si="228"/>
        <v>0</v>
      </c>
      <c r="DD123" s="75">
        <f t="shared" si="229"/>
        <v>171036</v>
      </c>
      <c r="DE123" s="75">
        <f t="shared" si="230"/>
        <v>0</v>
      </c>
      <c r="DF123" s="75"/>
      <c r="DG123" s="75">
        <f t="shared" si="231"/>
        <v>0</v>
      </c>
      <c r="DH123" s="75">
        <f t="shared" si="232"/>
        <v>0</v>
      </c>
      <c r="DI123" s="75"/>
      <c r="DJ123" s="75">
        <f t="shared" si="233"/>
        <v>0</v>
      </c>
      <c r="DK123" s="75">
        <f t="shared" si="234"/>
        <v>0</v>
      </c>
      <c r="DL123" s="75">
        <f t="shared" si="235"/>
        <v>0</v>
      </c>
      <c r="DM123" s="75">
        <f t="shared" si="236"/>
        <v>0</v>
      </c>
      <c r="DN123" s="75">
        <f t="shared" si="237"/>
        <v>0</v>
      </c>
      <c r="DO123" s="75">
        <f t="shared" si="238"/>
        <v>0</v>
      </c>
      <c r="DP123" s="75">
        <f t="shared" si="239"/>
        <v>0</v>
      </c>
      <c r="DQ123" s="75"/>
      <c r="DR123" s="75">
        <f t="shared" si="240"/>
        <v>0</v>
      </c>
    </row>
    <row r="124" spans="1:123" ht="66" hidden="1" customHeight="1" x14ac:dyDescent="0.3">
      <c r="A124" s="246"/>
      <c r="B124" s="271" t="s">
        <v>157</v>
      </c>
      <c r="C124" s="272" t="s">
        <v>156</v>
      </c>
      <c r="D124" s="272" t="s">
        <v>155</v>
      </c>
      <c r="E124" s="273">
        <v>111</v>
      </c>
      <c r="F124" s="181" t="s">
        <v>12</v>
      </c>
      <c r="G124" s="227">
        <v>20073000000</v>
      </c>
      <c r="H124" s="79">
        <f t="shared" si="204"/>
        <v>0</v>
      </c>
      <c r="I124" s="79">
        <f t="shared" si="205"/>
        <v>650000000</v>
      </c>
      <c r="J124" s="78"/>
      <c r="K124" s="78"/>
      <c r="L124" s="78"/>
      <c r="M124" s="75">
        <f t="shared" si="206"/>
        <v>650000000</v>
      </c>
      <c r="N124" s="75"/>
      <c r="O124" s="75"/>
      <c r="P124" s="75"/>
      <c r="Q124" s="75">
        <f>1590000000+400000000-850705529-550000000</f>
        <v>589294471</v>
      </c>
      <c r="R124" s="75"/>
      <c r="S124" s="75">
        <f>5000000</f>
        <v>5000000</v>
      </c>
      <c r="T124" s="75"/>
      <c r="U124" s="75"/>
      <c r="V124" s="75"/>
      <c r="W124" s="75"/>
      <c r="X124" s="75"/>
      <c r="Y124" s="75"/>
      <c r="Z124" s="75"/>
      <c r="AA124" s="75"/>
      <c r="AB124" s="75"/>
      <c r="AC124" s="75">
        <v>55705529</v>
      </c>
      <c r="AD124" s="75"/>
      <c r="AE124" s="75"/>
      <c r="AF124" s="75"/>
      <c r="AG124" s="75"/>
      <c r="AH124" s="90"/>
      <c r="AI124" s="25">
        <f t="shared" si="159"/>
        <v>0</v>
      </c>
      <c r="AJ124" s="75">
        <f t="shared" si="207"/>
        <v>0</v>
      </c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25">
        <f t="shared" si="161"/>
        <v>1</v>
      </c>
      <c r="BF124" s="75">
        <f t="shared" si="208"/>
        <v>650000000</v>
      </c>
      <c r="BG124" s="75">
        <f t="shared" si="209"/>
        <v>0</v>
      </c>
      <c r="BH124" s="75">
        <f t="shared" si="210"/>
        <v>0</v>
      </c>
      <c r="BI124" s="75"/>
      <c r="BJ124" s="75">
        <f t="shared" si="211"/>
        <v>589294471</v>
      </c>
      <c r="BK124" s="75">
        <f t="shared" si="212"/>
        <v>0</v>
      </c>
      <c r="BL124" s="75">
        <f t="shared" si="213"/>
        <v>5000000</v>
      </c>
      <c r="BM124" s="75">
        <f t="shared" si="214"/>
        <v>0</v>
      </c>
      <c r="BN124" s="75"/>
      <c r="BO124" s="75">
        <f t="shared" si="215"/>
        <v>0</v>
      </c>
      <c r="BP124" s="75">
        <f t="shared" si="216"/>
        <v>0</v>
      </c>
      <c r="BQ124" s="75">
        <f t="shared" si="217"/>
        <v>0</v>
      </c>
      <c r="BR124" s="75">
        <f t="shared" si="218"/>
        <v>0</v>
      </c>
      <c r="BS124" s="75">
        <f t="shared" si="219"/>
        <v>0</v>
      </c>
      <c r="BT124" s="75">
        <f t="shared" si="220"/>
        <v>0</v>
      </c>
      <c r="BU124" s="75">
        <f t="shared" si="221"/>
        <v>0</v>
      </c>
      <c r="BV124" s="75">
        <f t="shared" si="222"/>
        <v>55705529</v>
      </c>
      <c r="BW124" s="75">
        <f t="shared" si="223"/>
        <v>0</v>
      </c>
      <c r="BX124" s="75"/>
      <c r="BY124" s="75"/>
      <c r="BZ124" s="75">
        <f t="shared" si="224"/>
        <v>0</v>
      </c>
      <c r="CA124" s="25">
        <f t="shared" si="169"/>
        <v>0</v>
      </c>
      <c r="CB124" s="75">
        <f t="shared" si="225"/>
        <v>0</v>
      </c>
      <c r="CC124" s="75"/>
      <c r="CD124" s="75"/>
      <c r="CE124" s="75"/>
      <c r="CF124" s="75"/>
      <c r="CG124" s="75"/>
      <c r="CH124" s="75"/>
      <c r="CI124" s="75"/>
      <c r="CJ124" s="75"/>
      <c r="CK124" s="75"/>
      <c r="CL124" s="75"/>
      <c r="CM124" s="75"/>
      <c r="CN124" s="75"/>
      <c r="CO124" s="75"/>
      <c r="CP124" s="75"/>
      <c r="CQ124" s="75"/>
      <c r="CR124" s="75"/>
      <c r="CS124" s="75"/>
      <c r="CT124" s="75"/>
      <c r="CU124" s="75"/>
      <c r="CV124" s="75"/>
      <c r="CW124" s="25">
        <f t="shared" si="171"/>
        <v>1</v>
      </c>
      <c r="CX124" s="75">
        <f t="shared" si="226"/>
        <v>650000000</v>
      </c>
      <c r="CY124" s="75"/>
      <c r="CZ124" s="75"/>
      <c r="DA124" s="75"/>
      <c r="DB124" s="75">
        <f t="shared" si="227"/>
        <v>589294471</v>
      </c>
      <c r="DC124" s="75">
        <f t="shared" si="228"/>
        <v>0</v>
      </c>
      <c r="DD124" s="75">
        <f t="shared" si="229"/>
        <v>5000000</v>
      </c>
      <c r="DE124" s="75">
        <f t="shared" si="230"/>
        <v>0</v>
      </c>
      <c r="DF124" s="75"/>
      <c r="DG124" s="75">
        <f t="shared" si="231"/>
        <v>0</v>
      </c>
      <c r="DH124" s="75">
        <f t="shared" si="232"/>
        <v>0</v>
      </c>
      <c r="DI124" s="75"/>
      <c r="DJ124" s="75">
        <f t="shared" si="233"/>
        <v>0</v>
      </c>
      <c r="DK124" s="75">
        <f t="shared" si="234"/>
        <v>0</v>
      </c>
      <c r="DL124" s="75">
        <f t="shared" si="235"/>
        <v>0</v>
      </c>
      <c r="DM124" s="75">
        <f t="shared" si="236"/>
        <v>0</v>
      </c>
      <c r="DN124" s="75">
        <f t="shared" si="237"/>
        <v>55705529</v>
      </c>
      <c r="DO124" s="75">
        <f t="shared" si="238"/>
        <v>0</v>
      </c>
      <c r="DP124" s="75">
        <f t="shared" si="239"/>
        <v>0</v>
      </c>
      <c r="DQ124" s="75"/>
      <c r="DR124" s="75">
        <f t="shared" si="240"/>
        <v>0</v>
      </c>
    </row>
    <row r="125" spans="1:123" ht="36" hidden="1" customHeight="1" x14ac:dyDescent="0.3">
      <c r="A125" s="246"/>
      <c r="B125" s="271"/>
      <c r="C125" s="272" t="s">
        <v>154</v>
      </c>
      <c r="D125" s="272" t="s">
        <v>153</v>
      </c>
      <c r="E125" s="273">
        <v>111</v>
      </c>
      <c r="F125" s="181" t="s">
        <v>12</v>
      </c>
      <c r="G125" s="228"/>
      <c r="H125" s="79">
        <f t="shared" si="204"/>
        <v>0</v>
      </c>
      <c r="I125" s="79">
        <f t="shared" si="205"/>
        <v>830000000</v>
      </c>
      <c r="J125" s="78"/>
      <c r="K125" s="78"/>
      <c r="L125" s="78"/>
      <c r="M125" s="75">
        <f t="shared" si="206"/>
        <v>830000000</v>
      </c>
      <c r="N125" s="75"/>
      <c r="O125" s="75"/>
      <c r="P125" s="75"/>
      <c r="Q125" s="75">
        <v>830000000</v>
      </c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90"/>
      <c r="AI125" s="25">
        <f t="shared" si="159"/>
        <v>0</v>
      </c>
      <c r="AJ125" s="75">
        <f t="shared" si="207"/>
        <v>0</v>
      </c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25">
        <f t="shared" si="161"/>
        <v>1</v>
      </c>
      <c r="BF125" s="75">
        <f t="shared" si="208"/>
        <v>830000000</v>
      </c>
      <c r="BG125" s="75">
        <f t="shared" si="209"/>
        <v>0</v>
      </c>
      <c r="BH125" s="75">
        <f t="shared" si="210"/>
        <v>0</v>
      </c>
      <c r="BI125" s="75"/>
      <c r="BJ125" s="75">
        <f t="shared" si="211"/>
        <v>830000000</v>
      </c>
      <c r="BK125" s="75">
        <f t="shared" si="212"/>
        <v>0</v>
      </c>
      <c r="BL125" s="75">
        <f t="shared" si="213"/>
        <v>0</v>
      </c>
      <c r="BM125" s="75">
        <f t="shared" si="214"/>
        <v>0</v>
      </c>
      <c r="BN125" s="75"/>
      <c r="BO125" s="75">
        <f t="shared" si="215"/>
        <v>0</v>
      </c>
      <c r="BP125" s="75">
        <f t="shared" si="216"/>
        <v>0</v>
      </c>
      <c r="BQ125" s="75">
        <f t="shared" si="217"/>
        <v>0</v>
      </c>
      <c r="BR125" s="75">
        <f t="shared" si="218"/>
        <v>0</v>
      </c>
      <c r="BS125" s="75">
        <f t="shared" si="219"/>
        <v>0</v>
      </c>
      <c r="BT125" s="75">
        <f t="shared" si="220"/>
        <v>0</v>
      </c>
      <c r="BU125" s="75">
        <f t="shared" si="221"/>
        <v>0</v>
      </c>
      <c r="BV125" s="75">
        <f t="shared" si="222"/>
        <v>0</v>
      </c>
      <c r="BW125" s="75">
        <f t="shared" si="223"/>
        <v>0</v>
      </c>
      <c r="BX125" s="75"/>
      <c r="BY125" s="75"/>
      <c r="BZ125" s="75">
        <f t="shared" si="224"/>
        <v>0</v>
      </c>
      <c r="CA125" s="25">
        <f t="shared" si="169"/>
        <v>0</v>
      </c>
      <c r="CB125" s="75">
        <f t="shared" si="225"/>
        <v>0</v>
      </c>
      <c r="CC125" s="75"/>
      <c r="CD125" s="75"/>
      <c r="CE125" s="75"/>
      <c r="CF125" s="75"/>
      <c r="CG125" s="75"/>
      <c r="CH125" s="75"/>
      <c r="CI125" s="75"/>
      <c r="CJ125" s="75"/>
      <c r="CK125" s="75"/>
      <c r="CL125" s="75"/>
      <c r="CM125" s="75"/>
      <c r="CN125" s="75"/>
      <c r="CO125" s="75"/>
      <c r="CP125" s="75"/>
      <c r="CQ125" s="75"/>
      <c r="CR125" s="75"/>
      <c r="CS125" s="75"/>
      <c r="CT125" s="75"/>
      <c r="CU125" s="75"/>
      <c r="CV125" s="75"/>
      <c r="CW125" s="25">
        <f t="shared" si="171"/>
        <v>1</v>
      </c>
      <c r="CX125" s="75">
        <f t="shared" si="226"/>
        <v>830000000</v>
      </c>
      <c r="CY125" s="75"/>
      <c r="CZ125" s="75"/>
      <c r="DA125" s="75"/>
      <c r="DB125" s="75">
        <f t="shared" si="227"/>
        <v>830000000</v>
      </c>
      <c r="DC125" s="75">
        <f t="shared" si="228"/>
        <v>0</v>
      </c>
      <c r="DD125" s="75">
        <f t="shared" si="229"/>
        <v>0</v>
      </c>
      <c r="DE125" s="75">
        <f t="shared" si="230"/>
        <v>0</v>
      </c>
      <c r="DF125" s="75"/>
      <c r="DG125" s="75">
        <f t="shared" si="231"/>
        <v>0</v>
      </c>
      <c r="DH125" s="75">
        <f t="shared" si="232"/>
        <v>0</v>
      </c>
      <c r="DI125" s="75"/>
      <c r="DJ125" s="75">
        <f t="shared" si="233"/>
        <v>0</v>
      </c>
      <c r="DK125" s="75">
        <f t="shared" si="234"/>
        <v>0</v>
      </c>
      <c r="DL125" s="75">
        <f t="shared" si="235"/>
        <v>0</v>
      </c>
      <c r="DM125" s="75">
        <f t="shared" si="236"/>
        <v>0</v>
      </c>
      <c r="DN125" s="75">
        <f t="shared" si="237"/>
        <v>0</v>
      </c>
      <c r="DO125" s="75">
        <f t="shared" si="238"/>
        <v>0</v>
      </c>
      <c r="DP125" s="75">
        <f t="shared" si="239"/>
        <v>0</v>
      </c>
      <c r="DQ125" s="75"/>
      <c r="DR125" s="75">
        <f t="shared" si="240"/>
        <v>0</v>
      </c>
    </row>
    <row r="126" spans="1:123" ht="33.75" hidden="1" customHeight="1" x14ac:dyDescent="0.3">
      <c r="A126" s="246"/>
      <c r="B126" s="271"/>
      <c r="C126" s="272" t="s">
        <v>152</v>
      </c>
      <c r="D126" s="272" t="s">
        <v>151</v>
      </c>
      <c r="E126" s="273">
        <v>111</v>
      </c>
      <c r="F126" s="181" t="s">
        <v>12</v>
      </c>
      <c r="G126" s="228"/>
      <c r="H126" s="79">
        <f t="shared" si="204"/>
        <v>0</v>
      </c>
      <c r="I126" s="79">
        <f t="shared" si="205"/>
        <v>350000000</v>
      </c>
      <c r="J126" s="78"/>
      <c r="K126" s="78"/>
      <c r="L126" s="78"/>
      <c r="M126" s="75">
        <f t="shared" si="206"/>
        <v>350000000</v>
      </c>
      <c r="N126" s="75"/>
      <c r="O126" s="75"/>
      <c r="P126" s="75"/>
      <c r="Q126" s="75">
        <f>212000000+103000000+12000000</f>
        <v>327000000</v>
      </c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  <c r="AC126" s="75">
        <v>23000000</v>
      </c>
      <c r="AD126" s="75"/>
      <c r="AE126" s="75"/>
      <c r="AF126" s="75"/>
      <c r="AG126" s="75"/>
      <c r="AH126" s="90"/>
      <c r="AI126" s="25">
        <f t="shared" si="159"/>
        <v>0.92400446000000003</v>
      </c>
      <c r="AJ126" s="75">
        <f t="shared" si="207"/>
        <v>323401561</v>
      </c>
      <c r="AK126" s="75"/>
      <c r="AL126" s="75"/>
      <c r="AM126" s="75"/>
      <c r="AN126" s="75">
        <f>+'[2]JULIO 2015'!$M$28</f>
        <v>323401561</v>
      </c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25">
        <f t="shared" si="161"/>
        <v>7.5995539999999973E-2</v>
      </c>
      <c r="BF126" s="75">
        <f t="shared" si="208"/>
        <v>26598439</v>
      </c>
      <c r="BG126" s="75">
        <f t="shared" si="209"/>
        <v>0</v>
      </c>
      <c r="BH126" s="75">
        <f t="shared" si="210"/>
        <v>0</v>
      </c>
      <c r="BI126" s="75"/>
      <c r="BJ126" s="75">
        <f t="shared" si="211"/>
        <v>3598439</v>
      </c>
      <c r="BK126" s="75">
        <f t="shared" si="212"/>
        <v>0</v>
      </c>
      <c r="BL126" s="75">
        <f t="shared" si="213"/>
        <v>0</v>
      </c>
      <c r="BM126" s="75">
        <f t="shared" si="214"/>
        <v>0</v>
      </c>
      <c r="BN126" s="75"/>
      <c r="BO126" s="75">
        <f t="shared" si="215"/>
        <v>0</v>
      </c>
      <c r="BP126" s="75">
        <f t="shared" si="216"/>
        <v>0</v>
      </c>
      <c r="BQ126" s="75">
        <f t="shared" si="217"/>
        <v>0</v>
      </c>
      <c r="BR126" s="75">
        <f t="shared" si="218"/>
        <v>0</v>
      </c>
      <c r="BS126" s="75">
        <f t="shared" si="219"/>
        <v>0</v>
      </c>
      <c r="BT126" s="75">
        <f t="shared" si="220"/>
        <v>0</v>
      </c>
      <c r="BU126" s="75">
        <f t="shared" si="221"/>
        <v>0</v>
      </c>
      <c r="BV126" s="75">
        <f t="shared" si="222"/>
        <v>23000000</v>
      </c>
      <c r="BW126" s="75">
        <f t="shared" si="223"/>
        <v>0</v>
      </c>
      <c r="BX126" s="75"/>
      <c r="BY126" s="75"/>
      <c r="BZ126" s="75">
        <f t="shared" si="224"/>
        <v>0</v>
      </c>
      <c r="CA126" s="25">
        <f t="shared" si="169"/>
        <v>0</v>
      </c>
      <c r="CB126" s="75">
        <f t="shared" si="225"/>
        <v>0</v>
      </c>
      <c r="CC126" s="75"/>
      <c r="CD126" s="75"/>
      <c r="CE126" s="75"/>
      <c r="CF126" s="75"/>
      <c r="CG126" s="75"/>
      <c r="CH126" s="75"/>
      <c r="CI126" s="75"/>
      <c r="CJ126" s="75"/>
      <c r="CK126" s="75"/>
      <c r="CL126" s="75"/>
      <c r="CM126" s="75"/>
      <c r="CN126" s="75"/>
      <c r="CO126" s="75"/>
      <c r="CP126" s="75"/>
      <c r="CQ126" s="75"/>
      <c r="CR126" s="75"/>
      <c r="CS126" s="75"/>
      <c r="CT126" s="75"/>
      <c r="CU126" s="75"/>
      <c r="CV126" s="75"/>
      <c r="CW126" s="25">
        <f t="shared" si="171"/>
        <v>1</v>
      </c>
      <c r="CX126" s="75">
        <f t="shared" si="226"/>
        <v>350000000</v>
      </c>
      <c r="CY126" s="75"/>
      <c r="CZ126" s="75"/>
      <c r="DA126" s="75"/>
      <c r="DB126" s="75">
        <f t="shared" si="227"/>
        <v>327000000</v>
      </c>
      <c r="DC126" s="75">
        <f t="shared" si="228"/>
        <v>0</v>
      </c>
      <c r="DD126" s="75">
        <f t="shared" si="229"/>
        <v>0</v>
      </c>
      <c r="DE126" s="75">
        <f t="shared" si="230"/>
        <v>0</v>
      </c>
      <c r="DF126" s="75"/>
      <c r="DG126" s="75">
        <f t="shared" si="231"/>
        <v>0</v>
      </c>
      <c r="DH126" s="75">
        <f t="shared" si="232"/>
        <v>0</v>
      </c>
      <c r="DI126" s="75"/>
      <c r="DJ126" s="75">
        <f t="shared" si="233"/>
        <v>0</v>
      </c>
      <c r="DK126" s="75">
        <f t="shared" si="234"/>
        <v>0</v>
      </c>
      <c r="DL126" s="75">
        <f t="shared" si="235"/>
        <v>0</v>
      </c>
      <c r="DM126" s="75">
        <f t="shared" si="236"/>
        <v>0</v>
      </c>
      <c r="DN126" s="75">
        <f t="shared" si="237"/>
        <v>23000000</v>
      </c>
      <c r="DO126" s="75">
        <f t="shared" si="238"/>
        <v>0</v>
      </c>
      <c r="DP126" s="75">
        <f t="shared" si="239"/>
        <v>0</v>
      </c>
      <c r="DQ126" s="75"/>
      <c r="DR126" s="75">
        <f t="shared" si="240"/>
        <v>0</v>
      </c>
      <c r="DS126" s="68"/>
    </row>
    <row r="127" spans="1:123" ht="33" hidden="1" customHeight="1" x14ac:dyDescent="0.3">
      <c r="A127" s="246"/>
      <c r="B127" s="271"/>
      <c r="C127" s="272" t="s">
        <v>150</v>
      </c>
      <c r="D127" s="272" t="s">
        <v>149</v>
      </c>
      <c r="E127" s="273">
        <v>111</v>
      </c>
      <c r="F127" s="181" t="s">
        <v>12</v>
      </c>
      <c r="G127" s="228"/>
      <c r="H127" s="79">
        <f t="shared" si="204"/>
        <v>598906128</v>
      </c>
      <c r="I127" s="79">
        <f t="shared" si="205"/>
        <v>7460796</v>
      </c>
      <c r="J127" s="78"/>
      <c r="K127" s="78"/>
      <c r="L127" s="78"/>
      <c r="M127" s="75">
        <f t="shared" si="206"/>
        <v>606366924</v>
      </c>
      <c r="N127" s="75"/>
      <c r="O127" s="75"/>
      <c r="P127" s="75"/>
      <c r="Q127" s="75">
        <f>636000000+213203847-262848257</f>
        <v>586355590</v>
      </c>
      <c r="R127" s="75">
        <f>20011334</f>
        <v>20011334</v>
      </c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90"/>
      <c r="AI127" s="25">
        <f t="shared" si="159"/>
        <v>0.99586381792816914</v>
      </c>
      <c r="AJ127" s="75">
        <f t="shared" si="207"/>
        <v>603858880</v>
      </c>
      <c r="AK127" s="75"/>
      <c r="AL127" s="75"/>
      <c r="AM127" s="75"/>
      <c r="AN127" s="75">
        <f>+'[6]JUNIO 2015'!$M$33</f>
        <v>586355590</v>
      </c>
      <c r="AO127" s="75">
        <f>+'[1]AGOSTO 2015'!$N$33</f>
        <v>17503290</v>
      </c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25">
        <f t="shared" si="161"/>
        <v>4.1361820718308628E-3</v>
      </c>
      <c r="BF127" s="75">
        <f t="shared" si="208"/>
        <v>2508044</v>
      </c>
      <c r="BG127" s="75">
        <f t="shared" si="209"/>
        <v>0</v>
      </c>
      <c r="BH127" s="75">
        <f t="shared" si="210"/>
        <v>0</v>
      </c>
      <c r="BI127" s="75"/>
      <c r="BJ127" s="75">
        <f t="shared" si="211"/>
        <v>0</v>
      </c>
      <c r="BK127" s="75">
        <f t="shared" si="212"/>
        <v>2508044</v>
      </c>
      <c r="BL127" s="75">
        <f t="shared" si="213"/>
        <v>0</v>
      </c>
      <c r="BM127" s="75">
        <f t="shared" si="214"/>
        <v>0</v>
      </c>
      <c r="BN127" s="75"/>
      <c r="BO127" s="75">
        <f t="shared" si="215"/>
        <v>0</v>
      </c>
      <c r="BP127" s="75">
        <f t="shared" si="216"/>
        <v>0</v>
      </c>
      <c r="BQ127" s="75">
        <f t="shared" si="217"/>
        <v>0</v>
      </c>
      <c r="BR127" s="75">
        <f t="shared" si="218"/>
        <v>0</v>
      </c>
      <c r="BS127" s="75">
        <f t="shared" si="219"/>
        <v>0</v>
      </c>
      <c r="BT127" s="75">
        <f t="shared" si="220"/>
        <v>0</v>
      </c>
      <c r="BU127" s="75">
        <f t="shared" si="221"/>
        <v>0</v>
      </c>
      <c r="BV127" s="75">
        <f t="shared" si="222"/>
        <v>0</v>
      </c>
      <c r="BW127" s="75">
        <f t="shared" si="223"/>
        <v>0</v>
      </c>
      <c r="BX127" s="75"/>
      <c r="BY127" s="75"/>
      <c r="BZ127" s="75">
        <f t="shared" si="224"/>
        <v>0</v>
      </c>
      <c r="CA127" s="25">
        <f t="shared" si="169"/>
        <v>0.98769590539209551</v>
      </c>
      <c r="CB127" s="75">
        <f t="shared" si="225"/>
        <v>598906128</v>
      </c>
      <c r="CC127" s="75"/>
      <c r="CD127" s="75"/>
      <c r="CE127" s="75"/>
      <c r="CF127" s="75">
        <f>+'[1]AGOSTO 2015'!$H$34+'[1]AGOSTO 2015'!$G$43</f>
        <v>586355588</v>
      </c>
      <c r="CG127" s="75">
        <f>+'[1]AGOSTO 2015'!$H$45+'[1]AGOSTO 2015'!$H$47+'[1]AGOSTO 2015'!$H$50</f>
        <v>12550540</v>
      </c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/>
      <c r="CV127" s="75"/>
      <c r="CW127" s="25">
        <f t="shared" si="171"/>
        <v>1.2304094607904492E-2</v>
      </c>
      <c r="CX127" s="75">
        <f t="shared" si="226"/>
        <v>7460796</v>
      </c>
      <c r="CY127" s="75"/>
      <c r="CZ127" s="75"/>
      <c r="DA127" s="75"/>
      <c r="DB127" s="75">
        <f t="shared" si="227"/>
        <v>2</v>
      </c>
      <c r="DC127" s="75">
        <f t="shared" si="228"/>
        <v>7460794</v>
      </c>
      <c r="DD127" s="75">
        <f t="shared" si="229"/>
        <v>0</v>
      </c>
      <c r="DE127" s="75">
        <f t="shared" si="230"/>
        <v>0</v>
      </c>
      <c r="DF127" s="75"/>
      <c r="DG127" s="75">
        <f t="shared" si="231"/>
        <v>0</v>
      </c>
      <c r="DH127" s="75">
        <f t="shared" si="232"/>
        <v>0</v>
      </c>
      <c r="DI127" s="75"/>
      <c r="DJ127" s="75">
        <f t="shared" si="233"/>
        <v>0</v>
      </c>
      <c r="DK127" s="75">
        <f t="shared" si="234"/>
        <v>0</v>
      </c>
      <c r="DL127" s="75">
        <f t="shared" si="235"/>
        <v>0</v>
      </c>
      <c r="DM127" s="75">
        <f t="shared" si="236"/>
        <v>0</v>
      </c>
      <c r="DN127" s="75">
        <f t="shared" si="237"/>
        <v>0</v>
      </c>
      <c r="DO127" s="75">
        <f t="shared" si="238"/>
        <v>0</v>
      </c>
      <c r="DP127" s="75">
        <f t="shared" si="239"/>
        <v>0</v>
      </c>
      <c r="DQ127" s="75"/>
      <c r="DR127" s="75">
        <f t="shared" si="240"/>
        <v>0</v>
      </c>
      <c r="DS127" s="68"/>
    </row>
    <row r="128" spans="1:123" ht="34.5" hidden="1" customHeight="1" x14ac:dyDescent="0.3">
      <c r="A128" s="246"/>
      <c r="B128" s="271"/>
      <c r="C128" s="272" t="s">
        <v>148</v>
      </c>
      <c r="D128" s="272" t="s">
        <v>147</v>
      </c>
      <c r="E128" s="273">
        <v>111</v>
      </c>
      <c r="F128" s="181" t="s">
        <v>12</v>
      </c>
      <c r="G128" s="228"/>
      <c r="H128" s="79">
        <f t="shared" si="204"/>
        <v>0</v>
      </c>
      <c r="I128" s="79">
        <f t="shared" si="205"/>
        <v>360000000</v>
      </c>
      <c r="J128" s="78"/>
      <c r="K128" s="78"/>
      <c r="L128" s="78"/>
      <c r="M128" s="75">
        <f t="shared" si="206"/>
        <v>360000000</v>
      </c>
      <c r="N128" s="75"/>
      <c r="O128" s="75"/>
      <c r="P128" s="75"/>
      <c r="Q128" s="75">
        <f>290000000+70000000</f>
        <v>360000000</v>
      </c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90"/>
      <c r="AI128" s="25">
        <f t="shared" si="159"/>
        <v>0</v>
      </c>
      <c r="AJ128" s="75">
        <f t="shared" si="207"/>
        <v>0</v>
      </c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25">
        <f t="shared" si="161"/>
        <v>1</v>
      </c>
      <c r="BF128" s="75">
        <f t="shared" si="208"/>
        <v>360000000</v>
      </c>
      <c r="BG128" s="75">
        <f t="shared" si="209"/>
        <v>0</v>
      </c>
      <c r="BH128" s="75">
        <f t="shared" si="210"/>
        <v>0</v>
      </c>
      <c r="BI128" s="75"/>
      <c r="BJ128" s="75">
        <f t="shared" si="211"/>
        <v>360000000</v>
      </c>
      <c r="BK128" s="75">
        <f t="shared" si="212"/>
        <v>0</v>
      </c>
      <c r="BL128" s="75">
        <f t="shared" si="213"/>
        <v>0</v>
      </c>
      <c r="BM128" s="75">
        <f t="shared" si="214"/>
        <v>0</v>
      </c>
      <c r="BN128" s="75"/>
      <c r="BO128" s="75">
        <f t="shared" si="215"/>
        <v>0</v>
      </c>
      <c r="BP128" s="75">
        <f t="shared" si="216"/>
        <v>0</v>
      </c>
      <c r="BQ128" s="75">
        <f t="shared" si="217"/>
        <v>0</v>
      </c>
      <c r="BR128" s="75">
        <f t="shared" si="218"/>
        <v>0</v>
      </c>
      <c r="BS128" s="75">
        <f t="shared" si="219"/>
        <v>0</v>
      </c>
      <c r="BT128" s="75">
        <f t="shared" si="220"/>
        <v>0</v>
      </c>
      <c r="BU128" s="75">
        <f t="shared" si="221"/>
        <v>0</v>
      </c>
      <c r="BV128" s="75">
        <f t="shared" si="222"/>
        <v>0</v>
      </c>
      <c r="BW128" s="75">
        <f t="shared" si="223"/>
        <v>0</v>
      </c>
      <c r="BX128" s="75"/>
      <c r="BY128" s="75"/>
      <c r="BZ128" s="75">
        <f t="shared" si="224"/>
        <v>0</v>
      </c>
      <c r="CA128" s="25">
        <f t="shared" si="169"/>
        <v>0</v>
      </c>
      <c r="CB128" s="75">
        <f t="shared" si="225"/>
        <v>0</v>
      </c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25">
        <f t="shared" si="171"/>
        <v>1</v>
      </c>
      <c r="CX128" s="75">
        <f t="shared" si="226"/>
        <v>360000000</v>
      </c>
      <c r="CY128" s="75"/>
      <c r="CZ128" s="75"/>
      <c r="DA128" s="75"/>
      <c r="DB128" s="75">
        <f t="shared" si="227"/>
        <v>360000000</v>
      </c>
      <c r="DC128" s="75">
        <f t="shared" si="228"/>
        <v>0</v>
      </c>
      <c r="DD128" s="75">
        <f t="shared" si="229"/>
        <v>0</v>
      </c>
      <c r="DE128" s="75">
        <f t="shared" si="230"/>
        <v>0</v>
      </c>
      <c r="DF128" s="75"/>
      <c r="DG128" s="75">
        <f t="shared" si="231"/>
        <v>0</v>
      </c>
      <c r="DH128" s="75">
        <f t="shared" si="232"/>
        <v>0</v>
      </c>
      <c r="DI128" s="75"/>
      <c r="DJ128" s="75">
        <f t="shared" si="233"/>
        <v>0</v>
      </c>
      <c r="DK128" s="75">
        <f t="shared" si="234"/>
        <v>0</v>
      </c>
      <c r="DL128" s="75">
        <f t="shared" si="235"/>
        <v>0</v>
      </c>
      <c r="DM128" s="75">
        <f t="shared" si="236"/>
        <v>0</v>
      </c>
      <c r="DN128" s="75">
        <f t="shared" si="237"/>
        <v>0</v>
      </c>
      <c r="DO128" s="75">
        <f t="shared" si="238"/>
        <v>0</v>
      </c>
      <c r="DP128" s="75">
        <f t="shared" si="239"/>
        <v>0</v>
      </c>
      <c r="DQ128" s="75"/>
      <c r="DR128" s="75">
        <f t="shared" si="240"/>
        <v>0</v>
      </c>
      <c r="DS128" s="68"/>
    </row>
    <row r="129" spans="1:123" ht="36" hidden="1" customHeight="1" x14ac:dyDescent="0.3">
      <c r="A129" s="246"/>
      <c r="B129" s="271"/>
      <c r="C129" s="272" t="s">
        <v>146</v>
      </c>
      <c r="D129" s="272" t="s">
        <v>145</v>
      </c>
      <c r="E129" s="273">
        <v>111</v>
      </c>
      <c r="F129" s="181" t="s">
        <v>12</v>
      </c>
      <c r="G129" s="228"/>
      <c r="H129" s="79">
        <f t="shared" si="204"/>
        <v>0</v>
      </c>
      <c r="I129" s="79">
        <f t="shared" si="205"/>
        <v>938075763</v>
      </c>
      <c r="J129" s="78"/>
      <c r="K129" s="78"/>
      <c r="L129" s="78"/>
      <c r="M129" s="75">
        <f t="shared" si="206"/>
        <v>938075763</v>
      </c>
      <c r="N129" s="75"/>
      <c r="O129" s="75"/>
      <c r="P129" s="75"/>
      <c r="Q129" s="75">
        <f>699600000+99000000+80000000</f>
        <v>878600000</v>
      </c>
      <c r="R129" s="75"/>
      <c r="S129" s="75"/>
      <c r="T129" s="75"/>
      <c r="U129" s="75"/>
      <c r="V129" s="75"/>
      <c r="W129" s="75">
        <v>1940856</v>
      </c>
      <c r="X129" s="75">
        <v>3438802</v>
      </c>
      <c r="Y129" s="75">
        <v>54096105</v>
      </c>
      <c r="Z129" s="75"/>
      <c r="AA129" s="75"/>
      <c r="AB129" s="75"/>
      <c r="AC129" s="75"/>
      <c r="AD129" s="75"/>
      <c r="AE129" s="75"/>
      <c r="AF129" s="75"/>
      <c r="AG129" s="75"/>
      <c r="AH129" s="90"/>
      <c r="AI129" s="25">
        <f t="shared" si="159"/>
        <v>0</v>
      </c>
      <c r="AJ129" s="75">
        <f t="shared" si="207"/>
        <v>0</v>
      </c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25">
        <f t="shared" si="161"/>
        <v>1</v>
      </c>
      <c r="BF129" s="75">
        <f t="shared" si="208"/>
        <v>938075763</v>
      </c>
      <c r="BG129" s="75">
        <f t="shared" si="209"/>
        <v>0</v>
      </c>
      <c r="BH129" s="75">
        <f t="shared" si="210"/>
        <v>0</v>
      </c>
      <c r="BI129" s="75"/>
      <c r="BJ129" s="75">
        <f t="shared" si="211"/>
        <v>878600000</v>
      </c>
      <c r="BK129" s="75">
        <f t="shared" si="212"/>
        <v>0</v>
      </c>
      <c r="BL129" s="75">
        <f t="shared" si="213"/>
        <v>0</v>
      </c>
      <c r="BM129" s="75">
        <f t="shared" si="214"/>
        <v>0</v>
      </c>
      <c r="BN129" s="75"/>
      <c r="BO129" s="75">
        <f t="shared" si="215"/>
        <v>0</v>
      </c>
      <c r="BP129" s="75">
        <f t="shared" si="216"/>
        <v>1940856</v>
      </c>
      <c r="BQ129" s="75">
        <f t="shared" si="217"/>
        <v>3438802</v>
      </c>
      <c r="BR129" s="75">
        <f t="shared" si="218"/>
        <v>54096105</v>
      </c>
      <c r="BS129" s="75">
        <f t="shared" si="219"/>
        <v>0</v>
      </c>
      <c r="BT129" s="75">
        <f t="shared" si="220"/>
        <v>0</v>
      </c>
      <c r="BU129" s="75">
        <f t="shared" si="221"/>
        <v>0</v>
      </c>
      <c r="BV129" s="75">
        <f t="shared" si="222"/>
        <v>0</v>
      </c>
      <c r="BW129" s="75">
        <f t="shared" si="223"/>
        <v>0</v>
      </c>
      <c r="BX129" s="75">
        <f>+AE129-BB129</f>
        <v>0</v>
      </c>
      <c r="BY129" s="75">
        <f>+AF129-BC129</f>
        <v>0</v>
      </c>
      <c r="BZ129" s="75">
        <f t="shared" si="224"/>
        <v>0</v>
      </c>
      <c r="CA129" s="25">
        <f t="shared" si="169"/>
        <v>0</v>
      </c>
      <c r="CB129" s="75">
        <f t="shared" si="225"/>
        <v>0</v>
      </c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25">
        <f t="shared" si="171"/>
        <v>1</v>
      </c>
      <c r="CX129" s="75">
        <f t="shared" si="226"/>
        <v>938075763</v>
      </c>
      <c r="CY129" s="75"/>
      <c r="CZ129" s="75"/>
      <c r="DA129" s="75"/>
      <c r="DB129" s="75">
        <f t="shared" si="227"/>
        <v>878600000</v>
      </c>
      <c r="DC129" s="75">
        <f t="shared" si="228"/>
        <v>0</v>
      </c>
      <c r="DD129" s="75">
        <f t="shared" si="229"/>
        <v>0</v>
      </c>
      <c r="DE129" s="75">
        <f t="shared" si="230"/>
        <v>0</v>
      </c>
      <c r="DF129" s="75"/>
      <c r="DG129" s="75">
        <f t="shared" si="231"/>
        <v>0</v>
      </c>
      <c r="DH129" s="75">
        <f t="shared" si="232"/>
        <v>1940856</v>
      </c>
      <c r="DI129" s="75">
        <f>+X129-CM129</f>
        <v>3438802</v>
      </c>
      <c r="DJ129" s="75">
        <f t="shared" si="233"/>
        <v>54096105</v>
      </c>
      <c r="DK129" s="75">
        <f t="shared" si="234"/>
        <v>0</v>
      </c>
      <c r="DL129" s="75">
        <f t="shared" si="235"/>
        <v>0</v>
      </c>
      <c r="DM129" s="75">
        <f t="shared" si="236"/>
        <v>0</v>
      </c>
      <c r="DN129" s="75">
        <f t="shared" si="237"/>
        <v>0</v>
      </c>
      <c r="DO129" s="75">
        <f t="shared" si="238"/>
        <v>0</v>
      </c>
      <c r="DP129" s="75">
        <f t="shared" si="239"/>
        <v>0</v>
      </c>
      <c r="DQ129" s="75"/>
      <c r="DR129" s="75">
        <f t="shared" si="240"/>
        <v>0</v>
      </c>
      <c r="DS129" s="68"/>
    </row>
    <row r="130" spans="1:123" ht="33.75" hidden="1" customHeight="1" x14ac:dyDescent="0.3">
      <c r="A130" s="246"/>
      <c r="B130" s="271"/>
      <c r="C130" s="272" t="s">
        <v>144</v>
      </c>
      <c r="D130" s="272" t="s">
        <v>143</v>
      </c>
      <c r="E130" s="273">
        <v>111</v>
      </c>
      <c r="F130" s="181" t="s">
        <v>12</v>
      </c>
      <c r="G130" s="228"/>
      <c r="H130" s="79">
        <f t="shared" si="204"/>
        <v>0</v>
      </c>
      <c r="I130" s="79">
        <f t="shared" si="205"/>
        <v>233200000</v>
      </c>
      <c r="J130" s="78"/>
      <c r="K130" s="78"/>
      <c r="L130" s="78"/>
      <c r="M130" s="75">
        <f t="shared" si="206"/>
        <v>233200000</v>
      </c>
      <c r="N130" s="75"/>
      <c r="O130" s="75"/>
      <c r="P130" s="75"/>
      <c r="Q130" s="75">
        <v>233200000</v>
      </c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90"/>
      <c r="AI130" s="25">
        <f t="shared" si="159"/>
        <v>0</v>
      </c>
      <c r="AJ130" s="75">
        <f t="shared" si="207"/>
        <v>0</v>
      </c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25">
        <f t="shared" si="161"/>
        <v>1</v>
      </c>
      <c r="BF130" s="75">
        <f t="shared" si="208"/>
        <v>233200000</v>
      </c>
      <c r="BG130" s="75">
        <f t="shared" si="209"/>
        <v>0</v>
      </c>
      <c r="BH130" s="75">
        <f t="shared" si="210"/>
        <v>0</v>
      </c>
      <c r="BI130" s="75"/>
      <c r="BJ130" s="75">
        <f t="shared" si="211"/>
        <v>233200000</v>
      </c>
      <c r="BK130" s="75">
        <f t="shared" si="212"/>
        <v>0</v>
      </c>
      <c r="BL130" s="75">
        <f t="shared" si="213"/>
        <v>0</v>
      </c>
      <c r="BM130" s="75">
        <f t="shared" si="214"/>
        <v>0</v>
      </c>
      <c r="BN130" s="75"/>
      <c r="BO130" s="75">
        <f t="shared" si="215"/>
        <v>0</v>
      </c>
      <c r="BP130" s="75">
        <f t="shared" si="216"/>
        <v>0</v>
      </c>
      <c r="BQ130" s="75">
        <f t="shared" si="217"/>
        <v>0</v>
      </c>
      <c r="BR130" s="75">
        <f t="shared" si="218"/>
        <v>0</v>
      </c>
      <c r="BS130" s="75">
        <f t="shared" si="219"/>
        <v>0</v>
      </c>
      <c r="BT130" s="75">
        <f t="shared" si="220"/>
        <v>0</v>
      </c>
      <c r="BU130" s="75">
        <f t="shared" si="221"/>
        <v>0</v>
      </c>
      <c r="BV130" s="75">
        <f t="shared" si="222"/>
        <v>0</v>
      </c>
      <c r="BW130" s="75">
        <f t="shared" si="223"/>
        <v>0</v>
      </c>
      <c r="BX130" s="75"/>
      <c r="BY130" s="75">
        <f t="shared" ref="BY130:BY142" si="241">+AF130-BC130</f>
        <v>0</v>
      </c>
      <c r="BZ130" s="75">
        <f t="shared" si="224"/>
        <v>0</v>
      </c>
      <c r="CA130" s="25">
        <f t="shared" si="169"/>
        <v>0</v>
      </c>
      <c r="CB130" s="75">
        <f t="shared" si="225"/>
        <v>0</v>
      </c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25">
        <f t="shared" si="171"/>
        <v>1</v>
      </c>
      <c r="CX130" s="75">
        <f t="shared" si="226"/>
        <v>233200000</v>
      </c>
      <c r="CY130" s="75"/>
      <c r="CZ130" s="75"/>
      <c r="DA130" s="75"/>
      <c r="DB130" s="75">
        <f t="shared" si="227"/>
        <v>233200000</v>
      </c>
      <c r="DC130" s="75">
        <f t="shared" si="228"/>
        <v>0</v>
      </c>
      <c r="DD130" s="75">
        <f t="shared" si="229"/>
        <v>0</v>
      </c>
      <c r="DE130" s="75">
        <f t="shared" si="230"/>
        <v>0</v>
      </c>
      <c r="DF130" s="75"/>
      <c r="DG130" s="75">
        <f t="shared" si="231"/>
        <v>0</v>
      </c>
      <c r="DH130" s="75">
        <f t="shared" si="232"/>
        <v>0</v>
      </c>
      <c r="DI130" s="75">
        <f>+X130-CM130</f>
        <v>0</v>
      </c>
      <c r="DJ130" s="75">
        <f t="shared" si="233"/>
        <v>0</v>
      </c>
      <c r="DK130" s="75">
        <f t="shared" si="234"/>
        <v>0</v>
      </c>
      <c r="DL130" s="75">
        <f t="shared" si="235"/>
        <v>0</v>
      </c>
      <c r="DM130" s="75">
        <f t="shared" si="236"/>
        <v>0</v>
      </c>
      <c r="DN130" s="75">
        <f t="shared" si="237"/>
        <v>0</v>
      </c>
      <c r="DO130" s="75">
        <f t="shared" si="238"/>
        <v>0</v>
      </c>
      <c r="DP130" s="75">
        <f t="shared" si="239"/>
        <v>0</v>
      </c>
      <c r="DQ130" s="75"/>
      <c r="DR130" s="75">
        <f t="shared" si="240"/>
        <v>0</v>
      </c>
      <c r="DS130" s="68"/>
    </row>
    <row r="131" spans="1:123" ht="32.25" hidden="1" customHeight="1" x14ac:dyDescent="0.3">
      <c r="A131" s="246"/>
      <c r="B131" s="271"/>
      <c r="C131" s="272" t="s">
        <v>142</v>
      </c>
      <c r="D131" s="272" t="s">
        <v>141</v>
      </c>
      <c r="E131" s="273">
        <v>111</v>
      </c>
      <c r="F131" s="181" t="s">
        <v>12</v>
      </c>
      <c r="G131" s="228"/>
      <c r="H131" s="79">
        <f t="shared" si="204"/>
        <v>0</v>
      </c>
      <c r="I131" s="79">
        <f t="shared" si="205"/>
        <v>300000000</v>
      </c>
      <c r="J131" s="78"/>
      <c r="K131" s="78"/>
      <c r="L131" s="78"/>
      <c r="M131" s="75">
        <f t="shared" si="206"/>
        <v>300000000</v>
      </c>
      <c r="N131" s="75"/>
      <c r="O131" s="75"/>
      <c r="P131" s="75"/>
      <c r="Q131" s="75">
        <f>114715796+100000000-12000000</f>
        <v>202715796</v>
      </c>
      <c r="R131" s="75"/>
      <c r="S131" s="75"/>
      <c r="T131" s="75"/>
      <c r="U131" s="75"/>
      <c r="V131" s="75"/>
      <c r="W131" s="75"/>
      <c r="X131" s="75"/>
      <c r="Y131" s="75">
        <v>97284204</v>
      </c>
      <c r="Z131" s="75"/>
      <c r="AA131" s="75"/>
      <c r="AB131" s="75"/>
      <c r="AC131" s="75"/>
      <c r="AD131" s="75"/>
      <c r="AE131" s="75"/>
      <c r="AF131" s="75"/>
      <c r="AG131" s="75"/>
      <c r="AH131" s="90"/>
      <c r="AI131" s="25">
        <f t="shared" si="159"/>
        <v>0</v>
      </c>
      <c r="AJ131" s="75">
        <f t="shared" si="207"/>
        <v>0</v>
      </c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25">
        <f t="shared" si="161"/>
        <v>1</v>
      </c>
      <c r="BF131" s="75">
        <f t="shared" si="208"/>
        <v>300000000</v>
      </c>
      <c r="BG131" s="75">
        <f t="shared" si="209"/>
        <v>0</v>
      </c>
      <c r="BH131" s="75">
        <f t="shared" si="210"/>
        <v>0</v>
      </c>
      <c r="BI131" s="75"/>
      <c r="BJ131" s="75">
        <f t="shared" si="211"/>
        <v>202715796</v>
      </c>
      <c r="BK131" s="75">
        <f t="shared" si="212"/>
        <v>0</v>
      </c>
      <c r="BL131" s="75">
        <f t="shared" si="213"/>
        <v>0</v>
      </c>
      <c r="BM131" s="75">
        <f t="shared" si="214"/>
        <v>0</v>
      </c>
      <c r="BN131" s="75"/>
      <c r="BO131" s="75">
        <f t="shared" si="215"/>
        <v>0</v>
      </c>
      <c r="BP131" s="75">
        <f t="shared" si="216"/>
        <v>0</v>
      </c>
      <c r="BQ131" s="75">
        <f t="shared" si="217"/>
        <v>0</v>
      </c>
      <c r="BR131" s="75">
        <f t="shared" si="218"/>
        <v>97284204</v>
      </c>
      <c r="BS131" s="75">
        <f t="shared" si="219"/>
        <v>0</v>
      </c>
      <c r="BT131" s="75">
        <f t="shared" si="220"/>
        <v>0</v>
      </c>
      <c r="BU131" s="75">
        <f t="shared" si="221"/>
        <v>0</v>
      </c>
      <c r="BV131" s="75">
        <f t="shared" si="222"/>
        <v>0</v>
      </c>
      <c r="BW131" s="75">
        <f t="shared" si="223"/>
        <v>0</v>
      </c>
      <c r="BX131" s="75"/>
      <c r="BY131" s="75">
        <f t="shared" si="241"/>
        <v>0</v>
      </c>
      <c r="BZ131" s="75">
        <f t="shared" si="224"/>
        <v>0</v>
      </c>
      <c r="CA131" s="25">
        <f t="shared" si="169"/>
        <v>0</v>
      </c>
      <c r="CB131" s="75">
        <f t="shared" si="225"/>
        <v>0</v>
      </c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25">
        <f t="shared" si="171"/>
        <v>1</v>
      </c>
      <c r="CX131" s="75">
        <f t="shared" si="226"/>
        <v>300000000</v>
      </c>
      <c r="CY131" s="75"/>
      <c r="CZ131" s="75"/>
      <c r="DA131" s="75"/>
      <c r="DB131" s="75">
        <f t="shared" si="227"/>
        <v>202715796</v>
      </c>
      <c r="DC131" s="75">
        <f t="shared" si="228"/>
        <v>0</v>
      </c>
      <c r="DD131" s="75">
        <f t="shared" si="229"/>
        <v>0</v>
      </c>
      <c r="DE131" s="75">
        <f t="shared" si="230"/>
        <v>0</v>
      </c>
      <c r="DF131" s="75"/>
      <c r="DG131" s="75">
        <f t="shared" si="231"/>
        <v>0</v>
      </c>
      <c r="DH131" s="75">
        <f t="shared" si="232"/>
        <v>0</v>
      </c>
      <c r="DI131" s="75"/>
      <c r="DJ131" s="75">
        <f t="shared" si="233"/>
        <v>97284204</v>
      </c>
      <c r="DK131" s="75">
        <f t="shared" si="234"/>
        <v>0</v>
      </c>
      <c r="DL131" s="75">
        <f t="shared" si="235"/>
        <v>0</v>
      </c>
      <c r="DM131" s="75">
        <f t="shared" si="236"/>
        <v>0</v>
      </c>
      <c r="DN131" s="75">
        <f t="shared" si="237"/>
        <v>0</v>
      </c>
      <c r="DO131" s="75">
        <f t="shared" si="238"/>
        <v>0</v>
      </c>
      <c r="DP131" s="75">
        <f t="shared" si="239"/>
        <v>0</v>
      </c>
      <c r="DQ131" s="75"/>
      <c r="DR131" s="75">
        <f t="shared" si="240"/>
        <v>0</v>
      </c>
      <c r="DS131" s="68"/>
    </row>
    <row r="132" spans="1:123" ht="32.25" hidden="1" customHeight="1" x14ac:dyDescent="0.3">
      <c r="A132" s="246"/>
      <c r="B132" s="271"/>
      <c r="C132" s="272" t="s">
        <v>140</v>
      </c>
      <c r="D132" s="272" t="s">
        <v>139</v>
      </c>
      <c r="E132" s="273">
        <v>111</v>
      </c>
      <c r="F132" s="181" t="s">
        <v>12</v>
      </c>
      <c r="G132" s="228"/>
      <c r="H132" s="79">
        <f t="shared" si="204"/>
        <v>0</v>
      </c>
      <c r="I132" s="79">
        <f t="shared" si="205"/>
        <v>35000000</v>
      </c>
      <c r="J132" s="78"/>
      <c r="K132" s="78"/>
      <c r="L132" s="78"/>
      <c r="M132" s="75">
        <f t="shared" si="206"/>
        <v>35000000</v>
      </c>
      <c r="N132" s="75"/>
      <c r="O132" s="75"/>
      <c r="P132" s="75"/>
      <c r="Q132" s="75">
        <f>71000000-71000000</f>
        <v>0</v>
      </c>
      <c r="R132" s="75"/>
      <c r="S132" s="75"/>
      <c r="T132" s="75"/>
      <c r="U132" s="75"/>
      <c r="V132" s="75"/>
      <c r="W132" s="75"/>
      <c r="X132" s="75"/>
      <c r="Y132" s="75">
        <v>35000000</v>
      </c>
      <c r="Z132" s="75"/>
      <c r="AA132" s="75"/>
      <c r="AB132" s="75"/>
      <c r="AC132" s="75"/>
      <c r="AD132" s="75"/>
      <c r="AE132" s="75"/>
      <c r="AF132" s="75"/>
      <c r="AG132" s="75"/>
      <c r="AH132" s="90"/>
      <c r="AI132" s="25">
        <f t="shared" si="159"/>
        <v>0</v>
      </c>
      <c r="AJ132" s="75">
        <f t="shared" si="207"/>
        <v>0</v>
      </c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25">
        <f t="shared" si="161"/>
        <v>1</v>
      </c>
      <c r="BF132" s="75">
        <f t="shared" si="208"/>
        <v>35000000</v>
      </c>
      <c r="BG132" s="75">
        <f t="shared" si="209"/>
        <v>0</v>
      </c>
      <c r="BH132" s="75">
        <f t="shared" si="210"/>
        <v>0</v>
      </c>
      <c r="BI132" s="75"/>
      <c r="BJ132" s="75">
        <f t="shared" si="211"/>
        <v>0</v>
      </c>
      <c r="BK132" s="75">
        <f t="shared" si="212"/>
        <v>0</v>
      </c>
      <c r="BL132" s="75">
        <f t="shared" si="213"/>
        <v>0</v>
      </c>
      <c r="BM132" s="75">
        <f t="shared" si="214"/>
        <v>0</v>
      </c>
      <c r="BN132" s="75"/>
      <c r="BO132" s="75">
        <f t="shared" si="215"/>
        <v>0</v>
      </c>
      <c r="BP132" s="75">
        <f t="shared" si="216"/>
        <v>0</v>
      </c>
      <c r="BQ132" s="75">
        <f t="shared" si="217"/>
        <v>0</v>
      </c>
      <c r="BR132" s="75">
        <f t="shared" si="218"/>
        <v>35000000</v>
      </c>
      <c r="BS132" s="75">
        <f t="shared" si="219"/>
        <v>0</v>
      </c>
      <c r="BT132" s="75">
        <f t="shared" si="220"/>
        <v>0</v>
      </c>
      <c r="BU132" s="75">
        <f t="shared" si="221"/>
        <v>0</v>
      </c>
      <c r="BV132" s="75">
        <f t="shared" si="222"/>
        <v>0</v>
      </c>
      <c r="BW132" s="75">
        <f t="shared" si="223"/>
        <v>0</v>
      </c>
      <c r="BX132" s="75"/>
      <c r="BY132" s="75">
        <f t="shared" si="241"/>
        <v>0</v>
      </c>
      <c r="BZ132" s="75">
        <f t="shared" si="224"/>
        <v>0</v>
      </c>
      <c r="CA132" s="25">
        <f t="shared" si="169"/>
        <v>0</v>
      </c>
      <c r="CB132" s="75">
        <f t="shared" si="225"/>
        <v>0</v>
      </c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25">
        <f t="shared" si="171"/>
        <v>1</v>
      </c>
      <c r="CX132" s="75">
        <f t="shared" si="226"/>
        <v>35000000</v>
      </c>
      <c r="CY132" s="75"/>
      <c r="CZ132" s="75"/>
      <c r="DA132" s="75"/>
      <c r="DB132" s="75">
        <f t="shared" si="227"/>
        <v>0</v>
      </c>
      <c r="DC132" s="75">
        <f t="shared" si="228"/>
        <v>0</v>
      </c>
      <c r="DD132" s="75">
        <f t="shared" si="229"/>
        <v>0</v>
      </c>
      <c r="DE132" s="75">
        <f t="shared" si="230"/>
        <v>0</v>
      </c>
      <c r="DF132" s="75"/>
      <c r="DG132" s="75">
        <f t="shared" si="231"/>
        <v>0</v>
      </c>
      <c r="DH132" s="75">
        <f t="shared" si="232"/>
        <v>0</v>
      </c>
      <c r="DI132" s="75"/>
      <c r="DJ132" s="75">
        <f t="shared" si="233"/>
        <v>35000000</v>
      </c>
      <c r="DK132" s="75">
        <f t="shared" si="234"/>
        <v>0</v>
      </c>
      <c r="DL132" s="75">
        <f t="shared" si="235"/>
        <v>0</v>
      </c>
      <c r="DM132" s="75">
        <f t="shared" si="236"/>
        <v>0</v>
      </c>
      <c r="DN132" s="75">
        <f t="shared" si="237"/>
        <v>0</v>
      </c>
      <c r="DO132" s="75">
        <f t="shared" si="238"/>
        <v>0</v>
      </c>
      <c r="DP132" s="75">
        <f t="shared" si="239"/>
        <v>0</v>
      </c>
      <c r="DQ132" s="75"/>
      <c r="DR132" s="75">
        <f t="shared" si="240"/>
        <v>0</v>
      </c>
    </row>
    <row r="133" spans="1:123" ht="28.5" hidden="1" customHeight="1" x14ac:dyDescent="0.3">
      <c r="A133" s="246"/>
      <c r="B133" s="271"/>
      <c r="C133" s="272" t="s">
        <v>138</v>
      </c>
      <c r="D133" s="272" t="s">
        <v>137</v>
      </c>
      <c r="E133" s="273">
        <v>111</v>
      </c>
      <c r="F133" s="181" t="s">
        <v>12</v>
      </c>
      <c r="G133" s="228"/>
      <c r="H133" s="79">
        <f t="shared" si="204"/>
        <v>0</v>
      </c>
      <c r="I133" s="79">
        <f t="shared" si="205"/>
        <v>0</v>
      </c>
      <c r="J133" s="78"/>
      <c r="K133" s="78"/>
      <c r="L133" s="78"/>
      <c r="M133" s="75">
        <f t="shared" si="206"/>
        <v>0</v>
      </c>
      <c r="N133" s="75"/>
      <c r="O133" s="75"/>
      <c r="P133" s="75"/>
      <c r="Q133" s="75">
        <f>1804000000-636519551-639181389-128000000-400299060</f>
        <v>0</v>
      </c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90"/>
      <c r="AI133" s="25" t="e">
        <f t="shared" si="159"/>
        <v>#DIV/0!</v>
      </c>
      <c r="AJ133" s="75">
        <f t="shared" si="207"/>
        <v>0</v>
      </c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25" t="e">
        <f t="shared" si="161"/>
        <v>#DIV/0!</v>
      </c>
      <c r="BF133" s="75">
        <f t="shared" si="208"/>
        <v>0</v>
      </c>
      <c r="BG133" s="75">
        <f t="shared" si="209"/>
        <v>0</v>
      </c>
      <c r="BH133" s="75">
        <f t="shared" si="210"/>
        <v>0</v>
      </c>
      <c r="BI133" s="75"/>
      <c r="BJ133" s="75">
        <f t="shared" si="211"/>
        <v>0</v>
      </c>
      <c r="BK133" s="75">
        <f t="shared" si="212"/>
        <v>0</v>
      </c>
      <c r="BL133" s="75">
        <f t="shared" si="213"/>
        <v>0</v>
      </c>
      <c r="BM133" s="75">
        <f t="shared" si="214"/>
        <v>0</v>
      </c>
      <c r="BN133" s="75"/>
      <c r="BO133" s="75">
        <f t="shared" si="215"/>
        <v>0</v>
      </c>
      <c r="BP133" s="75">
        <f t="shared" si="216"/>
        <v>0</v>
      </c>
      <c r="BQ133" s="75">
        <f t="shared" si="217"/>
        <v>0</v>
      </c>
      <c r="BR133" s="75">
        <f t="shared" si="218"/>
        <v>0</v>
      </c>
      <c r="BS133" s="75">
        <f t="shared" si="219"/>
        <v>0</v>
      </c>
      <c r="BT133" s="75">
        <f t="shared" si="220"/>
        <v>0</v>
      </c>
      <c r="BU133" s="75">
        <f t="shared" si="221"/>
        <v>0</v>
      </c>
      <c r="BV133" s="75">
        <f t="shared" si="222"/>
        <v>0</v>
      </c>
      <c r="BW133" s="75">
        <f t="shared" si="223"/>
        <v>0</v>
      </c>
      <c r="BX133" s="75"/>
      <c r="BY133" s="75">
        <f t="shared" si="241"/>
        <v>0</v>
      </c>
      <c r="BZ133" s="75">
        <f t="shared" si="224"/>
        <v>0</v>
      </c>
      <c r="CA133" s="25" t="e">
        <f t="shared" si="169"/>
        <v>#DIV/0!</v>
      </c>
      <c r="CB133" s="75">
        <f t="shared" si="225"/>
        <v>0</v>
      </c>
      <c r="CC133" s="75"/>
      <c r="CD133" s="75"/>
      <c r="CE133" s="75"/>
      <c r="CF133" s="75"/>
      <c r="CG133" s="75"/>
      <c r="CH133" s="75"/>
      <c r="CI133" s="75"/>
      <c r="CJ133" s="75"/>
      <c r="CK133" s="75"/>
      <c r="CL133" s="75"/>
      <c r="CM133" s="75"/>
      <c r="CN133" s="75"/>
      <c r="CO133" s="75"/>
      <c r="CP133" s="75"/>
      <c r="CQ133" s="75"/>
      <c r="CR133" s="75"/>
      <c r="CS133" s="75"/>
      <c r="CT133" s="75"/>
      <c r="CU133" s="75"/>
      <c r="CV133" s="75"/>
      <c r="CW133" s="25" t="e">
        <f t="shared" si="171"/>
        <v>#DIV/0!</v>
      </c>
      <c r="CX133" s="75">
        <f t="shared" si="226"/>
        <v>0</v>
      </c>
      <c r="CY133" s="75"/>
      <c r="CZ133" s="75"/>
      <c r="DA133" s="75"/>
      <c r="DB133" s="75">
        <f t="shared" si="227"/>
        <v>0</v>
      </c>
      <c r="DC133" s="75">
        <f t="shared" si="228"/>
        <v>0</v>
      </c>
      <c r="DD133" s="75">
        <f t="shared" si="229"/>
        <v>0</v>
      </c>
      <c r="DE133" s="75">
        <f t="shared" si="230"/>
        <v>0</v>
      </c>
      <c r="DF133" s="75"/>
      <c r="DG133" s="75">
        <f t="shared" si="231"/>
        <v>0</v>
      </c>
      <c r="DH133" s="75">
        <f t="shared" si="232"/>
        <v>0</v>
      </c>
      <c r="DI133" s="75"/>
      <c r="DJ133" s="75">
        <f t="shared" si="233"/>
        <v>0</v>
      </c>
      <c r="DK133" s="75">
        <f t="shared" si="234"/>
        <v>0</v>
      </c>
      <c r="DL133" s="75">
        <f t="shared" si="235"/>
        <v>0</v>
      </c>
      <c r="DM133" s="75">
        <f t="shared" si="236"/>
        <v>0</v>
      </c>
      <c r="DN133" s="75">
        <f t="shared" si="237"/>
        <v>0</v>
      </c>
      <c r="DO133" s="75">
        <f t="shared" si="238"/>
        <v>0</v>
      </c>
      <c r="DP133" s="75">
        <f t="shared" si="239"/>
        <v>0</v>
      </c>
      <c r="DQ133" s="75"/>
      <c r="DR133" s="75">
        <f t="shared" si="240"/>
        <v>0</v>
      </c>
    </row>
    <row r="134" spans="1:123" ht="21" hidden="1" customHeight="1" x14ac:dyDescent="0.3">
      <c r="A134" s="246"/>
      <c r="B134" s="271"/>
      <c r="C134" s="272" t="s">
        <v>136</v>
      </c>
      <c r="D134" s="272" t="s">
        <v>135</v>
      </c>
      <c r="E134" s="273">
        <v>111</v>
      </c>
      <c r="F134" s="181" t="s">
        <v>12</v>
      </c>
      <c r="G134" s="228"/>
      <c r="H134" s="79">
        <f t="shared" si="204"/>
        <v>375878510</v>
      </c>
      <c r="I134" s="79">
        <f t="shared" si="205"/>
        <v>180000000</v>
      </c>
      <c r="J134" s="78"/>
      <c r="K134" s="78"/>
      <c r="L134" s="78"/>
      <c r="M134" s="75">
        <f t="shared" si="206"/>
        <v>555878510</v>
      </c>
      <c r="N134" s="75"/>
      <c r="O134" s="75"/>
      <c r="P134" s="75"/>
      <c r="Q134" s="75">
        <f>424000000+400000000-448121490+180000000</f>
        <v>555878510</v>
      </c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90"/>
      <c r="AI134" s="25">
        <f t="shared" si="159"/>
        <v>0.67618823760609126</v>
      </c>
      <c r="AJ134" s="75">
        <f t="shared" si="207"/>
        <v>375878510</v>
      </c>
      <c r="AK134" s="75"/>
      <c r="AL134" s="75"/>
      <c r="AM134" s="75"/>
      <c r="AN134" s="75">
        <f>+'[10]MAYO 2015'!$L$79-11600</f>
        <v>375878510</v>
      </c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25">
        <f t="shared" si="161"/>
        <v>0.32381176239390874</v>
      </c>
      <c r="BF134" s="75">
        <f t="shared" si="208"/>
        <v>180000000</v>
      </c>
      <c r="BG134" s="75">
        <f t="shared" si="209"/>
        <v>0</v>
      </c>
      <c r="BH134" s="75">
        <f t="shared" si="210"/>
        <v>0</v>
      </c>
      <c r="BI134" s="75"/>
      <c r="BJ134" s="75">
        <f t="shared" si="211"/>
        <v>180000000</v>
      </c>
      <c r="BK134" s="75">
        <f t="shared" si="212"/>
        <v>0</v>
      </c>
      <c r="BL134" s="75">
        <f t="shared" si="213"/>
        <v>0</v>
      </c>
      <c r="BM134" s="75">
        <f t="shared" si="214"/>
        <v>0</v>
      </c>
      <c r="BN134" s="75"/>
      <c r="BO134" s="75">
        <f t="shared" si="215"/>
        <v>0</v>
      </c>
      <c r="BP134" s="75">
        <f t="shared" si="216"/>
        <v>0</v>
      </c>
      <c r="BQ134" s="75">
        <f t="shared" si="217"/>
        <v>0</v>
      </c>
      <c r="BR134" s="75">
        <f t="shared" si="218"/>
        <v>0</v>
      </c>
      <c r="BS134" s="75">
        <f t="shared" si="219"/>
        <v>0</v>
      </c>
      <c r="BT134" s="75">
        <f t="shared" si="220"/>
        <v>0</v>
      </c>
      <c r="BU134" s="75">
        <f t="shared" si="221"/>
        <v>0</v>
      </c>
      <c r="BV134" s="75">
        <f t="shared" si="222"/>
        <v>0</v>
      </c>
      <c r="BW134" s="75">
        <f t="shared" si="223"/>
        <v>0</v>
      </c>
      <c r="BX134" s="75"/>
      <c r="BY134" s="75">
        <f t="shared" si="241"/>
        <v>0</v>
      </c>
      <c r="BZ134" s="75">
        <f t="shared" si="224"/>
        <v>0</v>
      </c>
      <c r="CA134" s="25">
        <f t="shared" si="169"/>
        <v>0.67618823760609126</v>
      </c>
      <c r="CB134" s="75">
        <f t="shared" si="225"/>
        <v>375878510</v>
      </c>
      <c r="CC134" s="75"/>
      <c r="CD134" s="75"/>
      <c r="CE134" s="75"/>
      <c r="CF134" s="75">
        <v>375878510</v>
      </c>
      <c r="CG134" s="75"/>
      <c r="CH134" s="75"/>
      <c r="CI134" s="75"/>
      <c r="CJ134" s="75"/>
      <c r="CK134" s="75"/>
      <c r="CL134" s="75"/>
      <c r="CM134" s="75"/>
      <c r="CN134" s="75"/>
      <c r="CO134" s="75"/>
      <c r="CP134" s="75"/>
      <c r="CQ134" s="75"/>
      <c r="CR134" s="75"/>
      <c r="CS134" s="75"/>
      <c r="CT134" s="75"/>
      <c r="CU134" s="75"/>
      <c r="CV134" s="75"/>
      <c r="CW134" s="25">
        <f t="shared" si="171"/>
        <v>0.32381176239390874</v>
      </c>
      <c r="CX134" s="75">
        <f t="shared" si="226"/>
        <v>180000000</v>
      </c>
      <c r="CY134" s="75"/>
      <c r="CZ134" s="75"/>
      <c r="DA134" s="75"/>
      <c r="DB134" s="75">
        <f t="shared" si="227"/>
        <v>180000000</v>
      </c>
      <c r="DC134" s="75">
        <f t="shared" si="228"/>
        <v>0</v>
      </c>
      <c r="DD134" s="75">
        <f t="shared" si="229"/>
        <v>0</v>
      </c>
      <c r="DE134" s="75">
        <f t="shared" si="230"/>
        <v>0</v>
      </c>
      <c r="DF134" s="75"/>
      <c r="DG134" s="75">
        <f t="shared" si="231"/>
        <v>0</v>
      </c>
      <c r="DH134" s="75">
        <f t="shared" si="232"/>
        <v>0</v>
      </c>
      <c r="DI134" s="75"/>
      <c r="DJ134" s="75">
        <f t="shared" si="233"/>
        <v>0</v>
      </c>
      <c r="DK134" s="75">
        <f t="shared" si="234"/>
        <v>0</v>
      </c>
      <c r="DL134" s="75">
        <f t="shared" si="235"/>
        <v>0</v>
      </c>
      <c r="DM134" s="75">
        <f t="shared" si="236"/>
        <v>0</v>
      </c>
      <c r="DN134" s="75">
        <f t="shared" si="237"/>
        <v>0</v>
      </c>
      <c r="DO134" s="75">
        <f t="shared" si="238"/>
        <v>0</v>
      </c>
      <c r="DP134" s="75">
        <f t="shared" si="239"/>
        <v>0</v>
      </c>
      <c r="DQ134" s="75"/>
      <c r="DR134" s="75">
        <f t="shared" si="240"/>
        <v>0</v>
      </c>
    </row>
    <row r="135" spans="1:123" ht="31.5" hidden="1" customHeight="1" x14ac:dyDescent="0.3">
      <c r="A135" s="246"/>
      <c r="B135" s="271"/>
      <c r="C135" s="272" t="s">
        <v>134</v>
      </c>
      <c r="D135" s="272" t="s">
        <v>133</v>
      </c>
      <c r="E135" s="273">
        <v>111</v>
      </c>
      <c r="F135" s="181" t="s">
        <v>12</v>
      </c>
      <c r="G135" s="228"/>
      <c r="H135" s="79">
        <f t="shared" si="204"/>
        <v>0</v>
      </c>
      <c r="I135" s="79">
        <f t="shared" si="205"/>
        <v>0</v>
      </c>
      <c r="J135" s="78"/>
      <c r="K135" s="78"/>
      <c r="L135" s="78"/>
      <c r="M135" s="75">
        <f t="shared" si="206"/>
        <v>0</v>
      </c>
      <c r="N135" s="75"/>
      <c r="O135" s="75"/>
      <c r="P135" s="75"/>
      <c r="Q135" s="75">
        <f>212000000-212000000</f>
        <v>0</v>
      </c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90"/>
      <c r="AI135" s="25" t="e">
        <f t="shared" si="159"/>
        <v>#DIV/0!</v>
      </c>
      <c r="AJ135" s="75">
        <f t="shared" si="207"/>
        <v>0</v>
      </c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25" t="e">
        <f t="shared" si="161"/>
        <v>#DIV/0!</v>
      </c>
      <c r="BF135" s="75">
        <f t="shared" si="208"/>
        <v>0</v>
      </c>
      <c r="BG135" s="75">
        <f t="shared" si="209"/>
        <v>0</v>
      </c>
      <c r="BH135" s="75">
        <f t="shared" si="210"/>
        <v>0</v>
      </c>
      <c r="BI135" s="75"/>
      <c r="BJ135" s="75">
        <f t="shared" si="211"/>
        <v>0</v>
      </c>
      <c r="BK135" s="75">
        <f t="shared" si="212"/>
        <v>0</v>
      </c>
      <c r="BL135" s="75">
        <f t="shared" si="213"/>
        <v>0</v>
      </c>
      <c r="BM135" s="75">
        <f t="shared" si="214"/>
        <v>0</v>
      </c>
      <c r="BN135" s="75"/>
      <c r="BO135" s="75">
        <f t="shared" si="215"/>
        <v>0</v>
      </c>
      <c r="BP135" s="75">
        <f t="shared" si="216"/>
        <v>0</v>
      </c>
      <c r="BQ135" s="75">
        <f t="shared" si="217"/>
        <v>0</v>
      </c>
      <c r="BR135" s="75">
        <f t="shared" si="218"/>
        <v>0</v>
      </c>
      <c r="BS135" s="75">
        <f t="shared" si="219"/>
        <v>0</v>
      </c>
      <c r="BT135" s="75">
        <f t="shared" si="220"/>
        <v>0</v>
      </c>
      <c r="BU135" s="75">
        <f t="shared" si="221"/>
        <v>0</v>
      </c>
      <c r="BV135" s="75">
        <f t="shared" si="222"/>
        <v>0</v>
      </c>
      <c r="BW135" s="75">
        <f t="shared" si="223"/>
        <v>0</v>
      </c>
      <c r="BX135" s="75"/>
      <c r="BY135" s="75">
        <f t="shared" si="241"/>
        <v>0</v>
      </c>
      <c r="BZ135" s="75">
        <f t="shared" si="224"/>
        <v>0</v>
      </c>
      <c r="CA135" s="25" t="e">
        <f t="shared" si="169"/>
        <v>#DIV/0!</v>
      </c>
      <c r="CB135" s="75">
        <f t="shared" si="225"/>
        <v>0</v>
      </c>
      <c r="CC135" s="75"/>
      <c r="CD135" s="75"/>
      <c r="CE135" s="75"/>
      <c r="CF135" s="75"/>
      <c r="CG135" s="75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25" t="e">
        <f t="shared" si="171"/>
        <v>#DIV/0!</v>
      </c>
      <c r="CX135" s="75">
        <f t="shared" si="226"/>
        <v>0</v>
      </c>
      <c r="CY135" s="75"/>
      <c r="CZ135" s="75"/>
      <c r="DA135" s="75"/>
      <c r="DB135" s="75">
        <f t="shared" si="227"/>
        <v>0</v>
      </c>
      <c r="DC135" s="75">
        <f t="shared" si="228"/>
        <v>0</v>
      </c>
      <c r="DD135" s="75">
        <f t="shared" si="229"/>
        <v>0</v>
      </c>
      <c r="DE135" s="75">
        <f t="shared" si="230"/>
        <v>0</v>
      </c>
      <c r="DF135" s="75"/>
      <c r="DG135" s="75">
        <f t="shared" si="231"/>
        <v>0</v>
      </c>
      <c r="DH135" s="75">
        <f t="shared" si="232"/>
        <v>0</v>
      </c>
      <c r="DI135" s="75"/>
      <c r="DJ135" s="75">
        <f t="shared" si="233"/>
        <v>0</v>
      </c>
      <c r="DK135" s="75">
        <f t="shared" si="234"/>
        <v>0</v>
      </c>
      <c r="DL135" s="75">
        <f t="shared" si="235"/>
        <v>0</v>
      </c>
      <c r="DM135" s="75">
        <f t="shared" si="236"/>
        <v>0</v>
      </c>
      <c r="DN135" s="75">
        <f t="shared" si="237"/>
        <v>0</v>
      </c>
      <c r="DO135" s="75">
        <f t="shared" si="238"/>
        <v>0</v>
      </c>
      <c r="DP135" s="75">
        <f t="shared" si="239"/>
        <v>0</v>
      </c>
      <c r="DQ135" s="75"/>
      <c r="DR135" s="75">
        <f t="shared" si="240"/>
        <v>0</v>
      </c>
    </row>
    <row r="136" spans="1:123" ht="23.25" hidden="1" customHeight="1" x14ac:dyDescent="0.3">
      <c r="A136" s="246"/>
      <c r="B136" s="271"/>
      <c r="C136" s="272" t="s">
        <v>132</v>
      </c>
      <c r="D136" s="272" t="s">
        <v>131</v>
      </c>
      <c r="E136" s="273">
        <v>111</v>
      </c>
      <c r="F136" s="181" t="s">
        <v>12</v>
      </c>
      <c r="G136" s="228"/>
      <c r="H136" s="79">
        <f t="shared" si="204"/>
        <v>0</v>
      </c>
      <c r="I136" s="79">
        <f t="shared" si="205"/>
        <v>0</v>
      </c>
      <c r="J136" s="78"/>
      <c r="K136" s="78"/>
      <c r="L136" s="78"/>
      <c r="M136" s="75">
        <f t="shared" si="206"/>
        <v>0</v>
      </c>
      <c r="N136" s="75"/>
      <c r="O136" s="75"/>
      <c r="P136" s="75"/>
      <c r="Q136" s="75">
        <f>63600000-50000000-13600000</f>
        <v>0</v>
      </c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90"/>
      <c r="AI136" s="25" t="e">
        <f t="shared" si="159"/>
        <v>#DIV/0!</v>
      </c>
      <c r="AJ136" s="75">
        <f t="shared" si="207"/>
        <v>0</v>
      </c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25" t="e">
        <f t="shared" si="161"/>
        <v>#DIV/0!</v>
      </c>
      <c r="BF136" s="75">
        <f t="shared" si="208"/>
        <v>0</v>
      </c>
      <c r="BG136" s="75">
        <f t="shared" si="209"/>
        <v>0</v>
      </c>
      <c r="BH136" s="75">
        <f t="shared" si="210"/>
        <v>0</v>
      </c>
      <c r="BI136" s="75"/>
      <c r="BJ136" s="75">
        <f t="shared" si="211"/>
        <v>0</v>
      </c>
      <c r="BK136" s="75">
        <f t="shared" si="212"/>
        <v>0</v>
      </c>
      <c r="BL136" s="75">
        <f t="shared" si="213"/>
        <v>0</v>
      </c>
      <c r="BM136" s="75">
        <f t="shared" si="214"/>
        <v>0</v>
      </c>
      <c r="BN136" s="75"/>
      <c r="BO136" s="75">
        <f t="shared" si="215"/>
        <v>0</v>
      </c>
      <c r="BP136" s="75">
        <f t="shared" si="216"/>
        <v>0</v>
      </c>
      <c r="BQ136" s="75">
        <f t="shared" si="217"/>
        <v>0</v>
      </c>
      <c r="BR136" s="75">
        <f t="shared" si="218"/>
        <v>0</v>
      </c>
      <c r="BS136" s="75">
        <f t="shared" si="219"/>
        <v>0</v>
      </c>
      <c r="BT136" s="75">
        <f t="shared" si="220"/>
        <v>0</v>
      </c>
      <c r="BU136" s="75">
        <f t="shared" si="221"/>
        <v>0</v>
      </c>
      <c r="BV136" s="75">
        <f t="shared" si="222"/>
        <v>0</v>
      </c>
      <c r="BW136" s="75">
        <f t="shared" si="223"/>
        <v>0</v>
      </c>
      <c r="BX136" s="75"/>
      <c r="BY136" s="75">
        <f t="shared" si="241"/>
        <v>0</v>
      </c>
      <c r="BZ136" s="75">
        <f t="shared" si="224"/>
        <v>0</v>
      </c>
      <c r="CA136" s="25" t="e">
        <f t="shared" si="169"/>
        <v>#DIV/0!</v>
      </c>
      <c r="CB136" s="75">
        <f t="shared" si="225"/>
        <v>0</v>
      </c>
      <c r="CC136" s="75"/>
      <c r="CD136" s="75"/>
      <c r="CE136" s="75"/>
      <c r="CF136" s="75"/>
      <c r="CG136" s="75"/>
      <c r="CH136" s="75"/>
      <c r="CI136" s="75"/>
      <c r="CJ136" s="75"/>
      <c r="CK136" s="75"/>
      <c r="CL136" s="75"/>
      <c r="CM136" s="75"/>
      <c r="CN136" s="75"/>
      <c r="CO136" s="75"/>
      <c r="CP136" s="75"/>
      <c r="CQ136" s="75"/>
      <c r="CR136" s="75"/>
      <c r="CS136" s="75"/>
      <c r="CT136" s="75"/>
      <c r="CU136" s="75"/>
      <c r="CV136" s="75"/>
      <c r="CW136" s="25" t="e">
        <f t="shared" si="171"/>
        <v>#DIV/0!</v>
      </c>
      <c r="CX136" s="75">
        <f t="shared" si="226"/>
        <v>0</v>
      </c>
      <c r="CY136" s="75"/>
      <c r="CZ136" s="75"/>
      <c r="DA136" s="75"/>
      <c r="DB136" s="75">
        <f t="shared" si="227"/>
        <v>0</v>
      </c>
      <c r="DC136" s="75">
        <f t="shared" si="228"/>
        <v>0</v>
      </c>
      <c r="DD136" s="75">
        <f t="shared" si="229"/>
        <v>0</v>
      </c>
      <c r="DE136" s="75">
        <f t="shared" si="230"/>
        <v>0</v>
      </c>
      <c r="DF136" s="75"/>
      <c r="DG136" s="75">
        <f t="shared" si="231"/>
        <v>0</v>
      </c>
      <c r="DH136" s="75">
        <f t="shared" si="232"/>
        <v>0</v>
      </c>
      <c r="DI136" s="75"/>
      <c r="DJ136" s="75">
        <f t="shared" si="233"/>
        <v>0</v>
      </c>
      <c r="DK136" s="75">
        <f t="shared" si="234"/>
        <v>0</v>
      </c>
      <c r="DL136" s="75">
        <f t="shared" si="235"/>
        <v>0</v>
      </c>
      <c r="DM136" s="75">
        <f t="shared" si="236"/>
        <v>0</v>
      </c>
      <c r="DN136" s="75">
        <f t="shared" si="237"/>
        <v>0</v>
      </c>
      <c r="DO136" s="75">
        <f t="shared" si="238"/>
        <v>0</v>
      </c>
      <c r="DP136" s="75">
        <f t="shared" si="239"/>
        <v>0</v>
      </c>
      <c r="DQ136" s="75"/>
      <c r="DR136" s="75">
        <f t="shared" si="240"/>
        <v>0</v>
      </c>
    </row>
    <row r="137" spans="1:123" ht="34.5" hidden="1" customHeight="1" x14ac:dyDescent="0.3">
      <c r="A137" s="246"/>
      <c r="B137" s="271"/>
      <c r="C137" s="272" t="s">
        <v>130</v>
      </c>
      <c r="D137" s="272" t="s">
        <v>129</v>
      </c>
      <c r="E137" s="273">
        <v>111</v>
      </c>
      <c r="F137" s="181" t="s">
        <v>12</v>
      </c>
      <c r="G137" s="228"/>
      <c r="H137" s="79">
        <f t="shared" si="204"/>
        <v>0</v>
      </c>
      <c r="I137" s="79">
        <f t="shared" si="205"/>
        <v>121000000</v>
      </c>
      <c r="J137" s="78"/>
      <c r="K137" s="78"/>
      <c r="L137" s="78"/>
      <c r="M137" s="75">
        <f t="shared" si="206"/>
        <v>121000000</v>
      </c>
      <c r="N137" s="75"/>
      <c r="O137" s="75"/>
      <c r="P137" s="75"/>
      <c r="Q137" s="75">
        <f>1590000000+897519551-1587519551-900000000</f>
        <v>0</v>
      </c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>
        <v>121000000</v>
      </c>
      <c r="AH137" s="90"/>
      <c r="AI137" s="25">
        <f t="shared" ref="AI137:AI167" si="242">+AJ137/M137</f>
        <v>0</v>
      </c>
      <c r="AJ137" s="75">
        <f t="shared" si="207"/>
        <v>0</v>
      </c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25">
        <f t="shared" ref="BE137:BE167" si="243">1-AI137</f>
        <v>1</v>
      </c>
      <c r="BF137" s="75">
        <f t="shared" si="208"/>
        <v>121000000</v>
      </c>
      <c r="BG137" s="75">
        <f t="shared" si="209"/>
        <v>0</v>
      </c>
      <c r="BH137" s="75">
        <f t="shared" si="210"/>
        <v>0</v>
      </c>
      <c r="BI137" s="75"/>
      <c r="BJ137" s="75">
        <f t="shared" si="211"/>
        <v>0</v>
      </c>
      <c r="BK137" s="75">
        <f t="shared" si="212"/>
        <v>0</v>
      </c>
      <c r="BL137" s="75">
        <f t="shared" si="213"/>
        <v>0</v>
      </c>
      <c r="BM137" s="75">
        <f t="shared" si="214"/>
        <v>0</v>
      </c>
      <c r="BN137" s="75"/>
      <c r="BO137" s="75">
        <f t="shared" si="215"/>
        <v>0</v>
      </c>
      <c r="BP137" s="75">
        <f t="shared" si="216"/>
        <v>0</v>
      </c>
      <c r="BQ137" s="75">
        <f t="shared" si="217"/>
        <v>0</v>
      </c>
      <c r="BR137" s="75">
        <f t="shared" si="218"/>
        <v>0</v>
      </c>
      <c r="BS137" s="75">
        <f t="shared" si="219"/>
        <v>0</v>
      </c>
      <c r="BT137" s="75">
        <f t="shared" si="220"/>
        <v>0</v>
      </c>
      <c r="BU137" s="75">
        <f t="shared" si="221"/>
        <v>0</v>
      </c>
      <c r="BV137" s="75">
        <f t="shared" si="222"/>
        <v>0</v>
      </c>
      <c r="BW137" s="75">
        <f t="shared" si="223"/>
        <v>0</v>
      </c>
      <c r="BX137" s="75"/>
      <c r="BY137" s="75">
        <f t="shared" si="241"/>
        <v>0</v>
      </c>
      <c r="BZ137" s="75">
        <f t="shared" si="224"/>
        <v>121000000</v>
      </c>
      <c r="CA137" s="25">
        <f t="shared" ref="CA137:CA168" si="244">+CB137/M137</f>
        <v>0</v>
      </c>
      <c r="CB137" s="75">
        <f t="shared" si="225"/>
        <v>0</v>
      </c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25">
        <f t="shared" ref="CW137:CW167" si="245">1-CA137</f>
        <v>1</v>
      </c>
      <c r="CX137" s="75">
        <f t="shared" si="226"/>
        <v>121000000</v>
      </c>
      <c r="CY137" s="75"/>
      <c r="CZ137" s="75"/>
      <c r="DA137" s="75"/>
      <c r="DB137" s="75">
        <f t="shared" si="227"/>
        <v>0</v>
      </c>
      <c r="DC137" s="75">
        <f t="shared" si="228"/>
        <v>0</v>
      </c>
      <c r="DD137" s="75">
        <f t="shared" si="229"/>
        <v>0</v>
      </c>
      <c r="DE137" s="75">
        <f t="shared" si="230"/>
        <v>0</v>
      </c>
      <c r="DF137" s="75"/>
      <c r="DG137" s="75">
        <f t="shared" si="231"/>
        <v>0</v>
      </c>
      <c r="DH137" s="75">
        <f t="shared" si="232"/>
        <v>0</v>
      </c>
      <c r="DI137" s="75"/>
      <c r="DJ137" s="75">
        <f t="shared" si="233"/>
        <v>0</v>
      </c>
      <c r="DK137" s="75">
        <f t="shared" si="234"/>
        <v>0</v>
      </c>
      <c r="DL137" s="75">
        <f t="shared" si="235"/>
        <v>0</v>
      </c>
      <c r="DM137" s="75">
        <f t="shared" si="236"/>
        <v>0</v>
      </c>
      <c r="DN137" s="75">
        <f t="shared" si="237"/>
        <v>0</v>
      </c>
      <c r="DO137" s="75">
        <f t="shared" si="238"/>
        <v>0</v>
      </c>
      <c r="DP137" s="75">
        <f t="shared" si="239"/>
        <v>0</v>
      </c>
      <c r="DQ137" s="75"/>
      <c r="DR137" s="75">
        <f t="shared" si="240"/>
        <v>121000000</v>
      </c>
    </row>
    <row r="138" spans="1:123" ht="35.25" hidden="1" customHeight="1" x14ac:dyDescent="0.3">
      <c r="A138" s="246"/>
      <c r="B138" s="271"/>
      <c r="C138" s="272" t="s">
        <v>128</v>
      </c>
      <c r="D138" s="272" t="s">
        <v>127</v>
      </c>
      <c r="E138" s="273">
        <v>111</v>
      </c>
      <c r="F138" s="181" t="s">
        <v>12</v>
      </c>
      <c r="G138" s="228"/>
      <c r="H138" s="79">
        <f t="shared" si="204"/>
        <v>0</v>
      </c>
      <c r="I138" s="79">
        <f t="shared" si="205"/>
        <v>0</v>
      </c>
      <c r="J138" s="78"/>
      <c r="K138" s="78"/>
      <c r="L138" s="78"/>
      <c r="M138" s="75">
        <f t="shared" si="206"/>
        <v>0</v>
      </c>
      <c r="N138" s="45"/>
      <c r="O138" s="45"/>
      <c r="P138" s="45"/>
      <c r="Q138" s="75">
        <f>417803755-417803755</f>
        <v>0</v>
      </c>
      <c r="R138" s="45"/>
      <c r="S138" s="45"/>
      <c r="T138" s="45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45"/>
      <c r="AH138" s="90"/>
      <c r="AI138" s="25" t="e">
        <f t="shared" si="242"/>
        <v>#DIV/0!</v>
      </c>
      <c r="AJ138" s="75">
        <f t="shared" si="207"/>
        <v>0</v>
      </c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25" t="e">
        <f t="shared" si="243"/>
        <v>#DIV/0!</v>
      </c>
      <c r="BF138" s="75">
        <f t="shared" si="208"/>
        <v>0</v>
      </c>
      <c r="BG138" s="75">
        <f t="shared" si="209"/>
        <v>0</v>
      </c>
      <c r="BH138" s="75">
        <f t="shared" si="210"/>
        <v>0</v>
      </c>
      <c r="BI138" s="75"/>
      <c r="BJ138" s="75">
        <f t="shared" si="211"/>
        <v>0</v>
      </c>
      <c r="BK138" s="75">
        <f t="shared" si="212"/>
        <v>0</v>
      </c>
      <c r="BL138" s="75">
        <f t="shared" si="213"/>
        <v>0</v>
      </c>
      <c r="BM138" s="75">
        <f t="shared" si="214"/>
        <v>0</v>
      </c>
      <c r="BN138" s="75"/>
      <c r="BO138" s="75">
        <f t="shared" si="215"/>
        <v>0</v>
      </c>
      <c r="BP138" s="75">
        <f t="shared" si="216"/>
        <v>0</v>
      </c>
      <c r="BQ138" s="75">
        <f t="shared" si="217"/>
        <v>0</v>
      </c>
      <c r="BR138" s="75">
        <f t="shared" si="218"/>
        <v>0</v>
      </c>
      <c r="BS138" s="75">
        <f t="shared" si="219"/>
        <v>0</v>
      </c>
      <c r="BT138" s="75">
        <f t="shared" si="220"/>
        <v>0</v>
      </c>
      <c r="BU138" s="75">
        <f t="shared" si="221"/>
        <v>0</v>
      </c>
      <c r="BV138" s="75">
        <f t="shared" si="222"/>
        <v>0</v>
      </c>
      <c r="BW138" s="75">
        <f t="shared" si="223"/>
        <v>0</v>
      </c>
      <c r="BX138" s="75"/>
      <c r="BY138" s="75">
        <f t="shared" si="241"/>
        <v>0</v>
      </c>
      <c r="BZ138" s="75">
        <f t="shared" si="224"/>
        <v>0</v>
      </c>
      <c r="CA138" s="25" t="e">
        <f t="shared" si="244"/>
        <v>#DIV/0!</v>
      </c>
      <c r="CB138" s="75">
        <f t="shared" si="225"/>
        <v>0</v>
      </c>
      <c r="CC138" s="75"/>
      <c r="CD138" s="75"/>
      <c r="CE138" s="75"/>
      <c r="CF138" s="75"/>
      <c r="CG138" s="75"/>
      <c r="CH138" s="75"/>
      <c r="CI138" s="75"/>
      <c r="CJ138" s="75"/>
      <c r="CK138" s="75"/>
      <c r="CL138" s="75"/>
      <c r="CM138" s="75"/>
      <c r="CN138" s="75"/>
      <c r="CO138" s="75"/>
      <c r="CP138" s="75"/>
      <c r="CQ138" s="75"/>
      <c r="CR138" s="75"/>
      <c r="CS138" s="75"/>
      <c r="CT138" s="75"/>
      <c r="CU138" s="75"/>
      <c r="CV138" s="75"/>
      <c r="CW138" s="25" t="e">
        <f t="shared" si="245"/>
        <v>#DIV/0!</v>
      </c>
      <c r="CX138" s="75">
        <f t="shared" si="226"/>
        <v>0</v>
      </c>
      <c r="CY138" s="75"/>
      <c r="CZ138" s="75"/>
      <c r="DA138" s="75"/>
      <c r="DB138" s="75">
        <f t="shared" si="227"/>
        <v>0</v>
      </c>
      <c r="DC138" s="75">
        <f t="shared" si="228"/>
        <v>0</v>
      </c>
      <c r="DD138" s="75">
        <f t="shared" si="229"/>
        <v>0</v>
      </c>
      <c r="DE138" s="75">
        <f t="shared" si="230"/>
        <v>0</v>
      </c>
      <c r="DF138" s="75"/>
      <c r="DG138" s="75">
        <f t="shared" si="231"/>
        <v>0</v>
      </c>
      <c r="DH138" s="75">
        <f t="shared" si="232"/>
        <v>0</v>
      </c>
      <c r="DI138" s="75"/>
      <c r="DJ138" s="75">
        <f t="shared" si="233"/>
        <v>0</v>
      </c>
      <c r="DK138" s="75">
        <f t="shared" si="234"/>
        <v>0</v>
      </c>
      <c r="DL138" s="75">
        <f t="shared" si="235"/>
        <v>0</v>
      </c>
      <c r="DM138" s="75">
        <f t="shared" si="236"/>
        <v>0</v>
      </c>
      <c r="DN138" s="75">
        <f t="shared" si="237"/>
        <v>0</v>
      </c>
      <c r="DO138" s="75">
        <f t="shared" si="238"/>
        <v>0</v>
      </c>
      <c r="DP138" s="75">
        <f t="shared" si="239"/>
        <v>0</v>
      </c>
      <c r="DQ138" s="75"/>
      <c r="DR138" s="75">
        <f t="shared" si="240"/>
        <v>0</v>
      </c>
    </row>
    <row r="139" spans="1:123" ht="32.25" hidden="1" customHeight="1" x14ac:dyDescent="0.3">
      <c r="A139" s="246"/>
      <c r="B139" s="271"/>
      <c r="C139" s="272" t="s">
        <v>126</v>
      </c>
      <c r="D139" s="272" t="s">
        <v>125</v>
      </c>
      <c r="E139" s="273">
        <v>111</v>
      </c>
      <c r="F139" s="181" t="s">
        <v>12</v>
      </c>
      <c r="G139" s="228"/>
      <c r="H139" s="79">
        <f t="shared" si="204"/>
        <v>662075963</v>
      </c>
      <c r="I139" s="79">
        <f t="shared" si="205"/>
        <v>463285369</v>
      </c>
      <c r="J139" s="78"/>
      <c r="K139" s="78"/>
      <c r="L139" s="78"/>
      <c r="M139" s="75">
        <f t="shared" si="206"/>
        <v>1125361332</v>
      </c>
      <c r="N139" s="75"/>
      <c r="O139" s="75"/>
      <c r="P139" s="75"/>
      <c r="Q139" s="75">
        <f>371000000+890000000-104000000-133915719-12442500</f>
        <v>1010641781</v>
      </c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>
        <v>114719551</v>
      </c>
      <c r="AC139" s="75"/>
      <c r="AD139" s="75"/>
      <c r="AE139" s="75"/>
      <c r="AF139" s="75"/>
      <c r="AG139" s="75"/>
      <c r="AH139" s="90"/>
      <c r="AI139" s="25">
        <f t="shared" si="242"/>
        <v>0.58854690237393015</v>
      </c>
      <c r="AJ139" s="75">
        <f t="shared" si="207"/>
        <v>662327926</v>
      </c>
      <c r="AK139" s="75"/>
      <c r="AL139" s="75"/>
      <c r="AM139" s="75"/>
      <c r="AN139" s="75">
        <f>+'[1]AGOSTO 2015'!$M$125</f>
        <v>662327926</v>
      </c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25">
        <f t="shared" si="243"/>
        <v>0.41145309762606985</v>
      </c>
      <c r="BF139" s="75">
        <f t="shared" si="208"/>
        <v>463033406</v>
      </c>
      <c r="BG139" s="75">
        <f t="shared" si="209"/>
        <v>0</v>
      </c>
      <c r="BH139" s="75">
        <f t="shared" si="210"/>
        <v>0</v>
      </c>
      <c r="BI139" s="75"/>
      <c r="BJ139" s="75">
        <f t="shared" si="211"/>
        <v>348313855</v>
      </c>
      <c r="BK139" s="75">
        <f t="shared" si="212"/>
        <v>0</v>
      </c>
      <c r="BL139" s="75">
        <f t="shared" si="213"/>
        <v>0</v>
      </c>
      <c r="BM139" s="75">
        <f t="shared" si="214"/>
        <v>0</v>
      </c>
      <c r="BN139" s="75"/>
      <c r="BO139" s="75">
        <f t="shared" si="215"/>
        <v>0</v>
      </c>
      <c r="BP139" s="75">
        <f t="shared" si="216"/>
        <v>0</v>
      </c>
      <c r="BQ139" s="75">
        <f t="shared" si="217"/>
        <v>0</v>
      </c>
      <c r="BR139" s="75">
        <f t="shared" si="218"/>
        <v>0</v>
      </c>
      <c r="BS139" s="75">
        <f t="shared" si="219"/>
        <v>0</v>
      </c>
      <c r="BT139" s="75">
        <f t="shared" si="220"/>
        <v>0</v>
      </c>
      <c r="BU139" s="75">
        <f t="shared" si="221"/>
        <v>114719551</v>
      </c>
      <c r="BV139" s="75">
        <f t="shared" si="222"/>
        <v>0</v>
      </c>
      <c r="BW139" s="75">
        <f t="shared" si="223"/>
        <v>0</v>
      </c>
      <c r="BX139" s="75"/>
      <c r="BY139" s="75">
        <f t="shared" si="241"/>
        <v>0</v>
      </c>
      <c r="BZ139" s="75">
        <f t="shared" si="224"/>
        <v>0</v>
      </c>
      <c r="CA139" s="25">
        <f t="shared" si="244"/>
        <v>0.5883230071743748</v>
      </c>
      <c r="CB139" s="75">
        <f t="shared" si="225"/>
        <v>662075963</v>
      </c>
      <c r="CC139" s="75"/>
      <c r="CD139" s="75"/>
      <c r="CE139" s="75"/>
      <c r="CF139" s="75">
        <f>+'[1]AGOSTO 2015'!$H$126+'[1]AGOSTO 2015'!$H$128+'[1]AGOSTO 2015'!$H$130+'[1]AGOSTO 2015'!$H$133+'[1]AGOSTO 2015'!$H$135+'[1]AGOSTO 2015'!$H$137+'[1]AGOSTO 2015'!$H$139+'[1]AGOSTO 2015'!$H$141</f>
        <v>662075963</v>
      </c>
      <c r="CG139" s="75"/>
      <c r="CH139" s="75"/>
      <c r="CI139" s="75"/>
      <c r="CJ139" s="75"/>
      <c r="CK139" s="75"/>
      <c r="CL139" s="75"/>
      <c r="CM139" s="75"/>
      <c r="CN139" s="75"/>
      <c r="CO139" s="75"/>
      <c r="CP139" s="75"/>
      <c r="CQ139" s="75"/>
      <c r="CR139" s="75"/>
      <c r="CS139" s="75"/>
      <c r="CT139" s="75"/>
      <c r="CU139" s="75"/>
      <c r="CV139" s="75"/>
      <c r="CW139" s="25">
        <f t="shared" si="245"/>
        <v>0.4116769928256252</v>
      </c>
      <c r="CX139" s="75">
        <f t="shared" si="226"/>
        <v>463285369</v>
      </c>
      <c r="CY139" s="75"/>
      <c r="CZ139" s="75"/>
      <c r="DA139" s="75"/>
      <c r="DB139" s="75">
        <f t="shared" si="227"/>
        <v>348565818</v>
      </c>
      <c r="DC139" s="75">
        <f t="shared" si="228"/>
        <v>0</v>
      </c>
      <c r="DD139" s="75">
        <f t="shared" si="229"/>
        <v>0</v>
      </c>
      <c r="DE139" s="75">
        <f t="shared" si="230"/>
        <v>0</v>
      </c>
      <c r="DF139" s="75"/>
      <c r="DG139" s="75">
        <f t="shared" si="231"/>
        <v>0</v>
      </c>
      <c r="DH139" s="75">
        <f t="shared" si="232"/>
        <v>0</v>
      </c>
      <c r="DI139" s="75"/>
      <c r="DJ139" s="75">
        <f t="shared" si="233"/>
        <v>0</v>
      </c>
      <c r="DK139" s="75">
        <f t="shared" si="234"/>
        <v>0</v>
      </c>
      <c r="DL139" s="75">
        <f t="shared" si="235"/>
        <v>0</v>
      </c>
      <c r="DM139" s="75">
        <f t="shared" si="236"/>
        <v>114719551</v>
      </c>
      <c r="DN139" s="75">
        <f t="shared" si="237"/>
        <v>0</v>
      </c>
      <c r="DO139" s="75">
        <f t="shared" si="238"/>
        <v>0</v>
      </c>
      <c r="DP139" s="75">
        <f t="shared" si="239"/>
        <v>0</v>
      </c>
      <c r="DQ139" s="75"/>
      <c r="DR139" s="75">
        <f t="shared" si="240"/>
        <v>0</v>
      </c>
    </row>
    <row r="140" spans="1:123" ht="50.25" hidden="1" customHeight="1" x14ac:dyDescent="0.3">
      <c r="A140" s="246"/>
      <c r="B140" s="271"/>
      <c r="C140" s="272" t="s">
        <v>124</v>
      </c>
      <c r="D140" s="272" t="s">
        <v>123</v>
      </c>
      <c r="E140" s="273">
        <v>111</v>
      </c>
      <c r="F140" s="181" t="s">
        <v>12</v>
      </c>
      <c r="G140" s="228"/>
      <c r="H140" s="79">
        <f t="shared" si="204"/>
        <v>239600131</v>
      </c>
      <c r="I140" s="79">
        <f t="shared" si="205"/>
        <v>999869</v>
      </c>
      <c r="J140" s="78"/>
      <c r="K140" s="78"/>
      <c r="L140" s="78"/>
      <c r="M140" s="75">
        <f t="shared" si="206"/>
        <v>240600000</v>
      </c>
      <c r="N140" s="75"/>
      <c r="O140" s="75"/>
      <c r="P140" s="75"/>
      <c r="Q140" s="75">
        <f>540600000-300000000</f>
        <v>240600000</v>
      </c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90"/>
      <c r="AI140" s="25">
        <f t="shared" si="242"/>
        <v>0.99590349542809642</v>
      </c>
      <c r="AJ140" s="75">
        <f t="shared" si="207"/>
        <v>239614381</v>
      </c>
      <c r="AK140" s="75"/>
      <c r="AL140" s="75"/>
      <c r="AM140" s="75"/>
      <c r="AN140" s="75">
        <f>+'[2]JULIO 2015'!$M$140</f>
        <v>239614381</v>
      </c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25">
        <f t="shared" si="243"/>
        <v>4.0965045719035809E-3</v>
      </c>
      <c r="BF140" s="75">
        <f t="shared" si="208"/>
        <v>985619</v>
      </c>
      <c r="BG140" s="75">
        <f t="shared" si="209"/>
        <v>0</v>
      </c>
      <c r="BH140" s="75">
        <f t="shared" si="210"/>
        <v>0</v>
      </c>
      <c r="BI140" s="75"/>
      <c r="BJ140" s="75">
        <f t="shared" si="211"/>
        <v>985619</v>
      </c>
      <c r="BK140" s="75">
        <f t="shared" si="212"/>
        <v>0</v>
      </c>
      <c r="BL140" s="75">
        <f t="shared" si="213"/>
        <v>0</v>
      </c>
      <c r="BM140" s="75">
        <f t="shared" si="214"/>
        <v>0</v>
      </c>
      <c r="BN140" s="75"/>
      <c r="BO140" s="75">
        <f t="shared" si="215"/>
        <v>0</v>
      </c>
      <c r="BP140" s="75">
        <f t="shared" si="216"/>
        <v>0</v>
      </c>
      <c r="BQ140" s="75">
        <f t="shared" si="217"/>
        <v>0</v>
      </c>
      <c r="BR140" s="75">
        <f t="shared" si="218"/>
        <v>0</v>
      </c>
      <c r="BS140" s="75">
        <f t="shared" si="219"/>
        <v>0</v>
      </c>
      <c r="BT140" s="75">
        <f t="shared" si="220"/>
        <v>0</v>
      </c>
      <c r="BU140" s="75">
        <f t="shared" si="221"/>
        <v>0</v>
      </c>
      <c r="BV140" s="75">
        <f t="shared" si="222"/>
        <v>0</v>
      </c>
      <c r="BW140" s="75">
        <f t="shared" si="223"/>
        <v>0</v>
      </c>
      <c r="BX140" s="75"/>
      <c r="BY140" s="75">
        <f t="shared" si="241"/>
        <v>0</v>
      </c>
      <c r="BZ140" s="75">
        <f t="shared" si="224"/>
        <v>0</v>
      </c>
      <c r="CA140" s="25">
        <f t="shared" si="244"/>
        <v>0.99584426849542806</v>
      </c>
      <c r="CB140" s="75">
        <f t="shared" si="225"/>
        <v>239600131</v>
      </c>
      <c r="CC140" s="75"/>
      <c r="CD140" s="75"/>
      <c r="CE140" s="75"/>
      <c r="CF140" s="75">
        <f>+'[2]JULIO 2015'!$H$138</f>
        <v>239600131</v>
      </c>
      <c r="CG140" s="75"/>
      <c r="CH140" s="75"/>
      <c r="CI140" s="75"/>
      <c r="CJ140" s="75"/>
      <c r="CK140" s="75"/>
      <c r="CL140" s="75"/>
      <c r="CM140" s="75"/>
      <c r="CN140" s="75"/>
      <c r="CO140" s="75"/>
      <c r="CP140" s="75"/>
      <c r="CQ140" s="75"/>
      <c r="CR140" s="75"/>
      <c r="CS140" s="75"/>
      <c r="CT140" s="75"/>
      <c r="CU140" s="75"/>
      <c r="CV140" s="75"/>
      <c r="CW140" s="25">
        <f t="shared" si="245"/>
        <v>4.1557315045719356E-3</v>
      </c>
      <c r="CX140" s="75">
        <f t="shared" si="226"/>
        <v>999869</v>
      </c>
      <c r="CY140" s="75"/>
      <c r="CZ140" s="75"/>
      <c r="DA140" s="75"/>
      <c r="DB140" s="75">
        <f t="shared" si="227"/>
        <v>999869</v>
      </c>
      <c r="DC140" s="75">
        <f t="shared" si="228"/>
        <v>0</v>
      </c>
      <c r="DD140" s="75">
        <f t="shared" si="229"/>
        <v>0</v>
      </c>
      <c r="DE140" s="75">
        <f t="shared" si="230"/>
        <v>0</v>
      </c>
      <c r="DF140" s="75"/>
      <c r="DG140" s="75">
        <f t="shared" si="231"/>
        <v>0</v>
      </c>
      <c r="DH140" s="75">
        <f t="shared" si="232"/>
        <v>0</v>
      </c>
      <c r="DI140" s="75"/>
      <c r="DJ140" s="75">
        <f t="shared" si="233"/>
        <v>0</v>
      </c>
      <c r="DK140" s="75">
        <f t="shared" si="234"/>
        <v>0</v>
      </c>
      <c r="DL140" s="75">
        <f t="shared" si="235"/>
        <v>0</v>
      </c>
      <c r="DM140" s="75">
        <f t="shared" si="236"/>
        <v>0</v>
      </c>
      <c r="DN140" s="75">
        <f t="shared" si="237"/>
        <v>0</v>
      </c>
      <c r="DO140" s="75">
        <f t="shared" si="238"/>
        <v>0</v>
      </c>
      <c r="DP140" s="75">
        <f t="shared" si="239"/>
        <v>0</v>
      </c>
      <c r="DQ140" s="75"/>
      <c r="DR140" s="75">
        <f t="shared" si="240"/>
        <v>0</v>
      </c>
    </row>
    <row r="141" spans="1:123" ht="48" hidden="1" customHeight="1" x14ac:dyDescent="0.3">
      <c r="A141" s="246"/>
      <c r="B141" s="271"/>
      <c r="C141" s="272" t="s">
        <v>122</v>
      </c>
      <c r="D141" s="272" t="s">
        <v>121</v>
      </c>
      <c r="E141" s="273">
        <v>111</v>
      </c>
      <c r="F141" s="181" t="s">
        <v>12</v>
      </c>
      <c r="G141" s="228"/>
      <c r="H141" s="79">
        <f t="shared" si="204"/>
        <v>0</v>
      </c>
      <c r="I141" s="79">
        <f t="shared" si="205"/>
        <v>0</v>
      </c>
      <c r="J141" s="78"/>
      <c r="K141" s="78"/>
      <c r="L141" s="78"/>
      <c r="M141" s="75">
        <f t="shared" si="206"/>
        <v>0</v>
      </c>
      <c r="N141" s="75"/>
      <c r="O141" s="75"/>
      <c r="P141" s="75"/>
      <c r="Q141" s="75">
        <f>2968000000-968000000-897000000-103000000-1000000000</f>
        <v>0</v>
      </c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90"/>
      <c r="AI141" s="25" t="e">
        <f t="shared" si="242"/>
        <v>#DIV/0!</v>
      </c>
      <c r="AJ141" s="75">
        <f t="shared" si="207"/>
        <v>0</v>
      </c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25" t="e">
        <f t="shared" si="243"/>
        <v>#DIV/0!</v>
      </c>
      <c r="BF141" s="75">
        <f t="shared" si="208"/>
        <v>0</v>
      </c>
      <c r="BG141" s="75">
        <f t="shared" si="209"/>
        <v>0</v>
      </c>
      <c r="BH141" s="75">
        <f t="shared" si="210"/>
        <v>0</v>
      </c>
      <c r="BI141" s="75"/>
      <c r="BJ141" s="75">
        <f t="shared" si="211"/>
        <v>0</v>
      </c>
      <c r="BK141" s="75">
        <f t="shared" si="212"/>
        <v>0</v>
      </c>
      <c r="BL141" s="75">
        <f t="shared" si="213"/>
        <v>0</v>
      </c>
      <c r="BM141" s="75">
        <f t="shared" si="214"/>
        <v>0</v>
      </c>
      <c r="BN141" s="75"/>
      <c r="BO141" s="75">
        <f t="shared" si="215"/>
        <v>0</v>
      </c>
      <c r="BP141" s="75">
        <f t="shared" si="216"/>
        <v>0</v>
      </c>
      <c r="BQ141" s="75">
        <f t="shared" si="217"/>
        <v>0</v>
      </c>
      <c r="BR141" s="75">
        <f t="shared" si="218"/>
        <v>0</v>
      </c>
      <c r="BS141" s="75">
        <f t="shared" si="219"/>
        <v>0</v>
      </c>
      <c r="BT141" s="75">
        <f t="shared" si="220"/>
        <v>0</v>
      </c>
      <c r="BU141" s="75">
        <f t="shared" si="221"/>
        <v>0</v>
      </c>
      <c r="BV141" s="75">
        <f t="shared" si="222"/>
        <v>0</v>
      </c>
      <c r="BW141" s="75">
        <f t="shared" si="223"/>
        <v>0</v>
      </c>
      <c r="BX141" s="75"/>
      <c r="BY141" s="75">
        <f t="shared" si="241"/>
        <v>0</v>
      </c>
      <c r="BZ141" s="75">
        <f t="shared" si="224"/>
        <v>0</v>
      </c>
      <c r="CA141" s="25" t="e">
        <f t="shared" si="244"/>
        <v>#DIV/0!</v>
      </c>
      <c r="CB141" s="75">
        <f t="shared" si="225"/>
        <v>0</v>
      </c>
      <c r="CC141" s="75"/>
      <c r="CD141" s="75"/>
      <c r="CE141" s="75"/>
      <c r="CF141" s="75"/>
      <c r="CG141" s="75"/>
      <c r="CH141" s="75"/>
      <c r="CI141" s="75"/>
      <c r="CJ141" s="75"/>
      <c r="CK141" s="75"/>
      <c r="CL141" s="75"/>
      <c r="CM141" s="75"/>
      <c r="CN141" s="75"/>
      <c r="CO141" s="75"/>
      <c r="CP141" s="75"/>
      <c r="CQ141" s="75"/>
      <c r="CR141" s="75"/>
      <c r="CS141" s="75"/>
      <c r="CT141" s="75"/>
      <c r="CU141" s="75"/>
      <c r="CV141" s="75"/>
      <c r="CW141" s="25" t="e">
        <f t="shared" si="245"/>
        <v>#DIV/0!</v>
      </c>
      <c r="CX141" s="75">
        <f t="shared" si="226"/>
        <v>0</v>
      </c>
      <c r="CY141" s="75"/>
      <c r="CZ141" s="75"/>
      <c r="DA141" s="75"/>
      <c r="DB141" s="75">
        <f t="shared" si="227"/>
        <v>0</v>
      </c>
      <c r="DC141" s="75">
        <f t="shared" si="228"/>
        <v>0</v>
      </c>
      <c r="DD141" s="75">
        <f t="shared" si="229"/>
        <v>0</v>
      </c>
      <c r="DE141" s="75">
        <f t="shared" si="230"/>
        <v>0</v>
      </c>
      <c r="DF141" s="75"/>
      <c r="DG141" s="75">
        <f t="shared" si="231"/>
        <v>0</v>
      </c>
      <c r="DH141" s="75">
        <f t="shared" si="232"/>
        <v>0</v>
      </c>
      <c r="DI141" s="75"/>
      <c r="DJ141" s="75">
        <f t="shared" si="233"/>
        <v>0</v>
      </c>
      <c r="DK141" s="75">
        <f t="shared" si="234"/>
        <v>0</v>
      </c>
      <c r="DL141" s="75">
        <f t="shared" si="235"/>
        <v>0</v>
      </c>
      <c r="DM141" s="75">
        <f t="shared" si="236"/>
        <v>0</v>
      </c>
      <c r="DN141" s="75">
        <f t="shared" si="237"/>
        <v>0</v>
      </c>
      <c r="DO141" s="75">
        <f t="shared" si="238"/>
        <v>0</v>
      </c>
      <c r="DP141" s="75">
        <f t="shared" si="239"/>
        <v>0</v>
      </c>
      <c r="DQ141" s="75"/>
      <c r="DR141" s="75">
        <f t="shared" si="240"/>
        <v>0</v>
      </c>
    </row>
    <row r="142" spans="1:123" ht="64.5" hidden="1" customHeight="1" x14ac:dyDescent="0.3">
      <c r="A142" s="246"/>
      <c r="B142" s="271"/>
      <c r="C142" s="272" t="s">
        <v>120</v>
      </c>
      <c r="D142" s="272" t="s">
        <v>119</v>
      </c>
      <c r="E142" s="273">
        <v>111</v>
      </c>
      <c r="F142" s="181" t="s">
        <v>118</v>
      </c>
      <c r="G142" s="228"/>
      <c r="H142" s="79">
        <f t="shared" si="204"/>
        <v>21261400</v>
      </c>
      <c r="I142" s="79">
        <f t="shared" si="205"/>
        <v>64238600</v>
      </c>
      <c r="J142" s="78"/>
      <c r="K142" s="78"/>
      <c r="L142" s="78"/>
      <c r="M142" s="75">
        <f t="shared" si="206"/>
        <v>85500000</v>
      </c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>
        <f>587519551+2000000+10000000+37000000-597519551+46500000</f>
        <v>85500000</v>
      </c>
      <c r="AH142" s="90"/>
      <c r="AI142" s="25">
        <f t="shared" si="242"/>
        <v>0.84345029239766078</v>
      </c>
      <c r="AJ142" s="75">
        <f t="shared" si="207"/>
        <v>72115000</v>
      </c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>
        <f>+'[1]AGOSTO 2015'!$G$156</f>
        <v>72115000</v>
      </c>
      <c r="BE142" s="25">
        <f t="shared" si="243"/>
        <v>0.15654970760233922</v>
      </c>
      <c r="BF142" s="75">
        <f t="shared" si="208"/>
        <v>13385000</v>
      </c>
      <c r="BG142" s="75">
        <f t="shared" si="209"/>
        <v>0</v>
      </c>
      <c r="BH142" s="75">
        <f t="shared" si="210"/>
        <v>0</v>
      </c>
      <c r="BI142" s="75"/>
      <c r="BJ142" s="75">
        <f t="shared" si="211"/>
        <v>0</v>
      </c>
      <c r="BK142" s="75">
        <f t="shared" si="212"/>
        <v>0</v>
      </c>
      <c r="BL142" s="75">
        <f t="shared" si="213"/>
        <v>0</v>
      </c>
      <c r="BM142" s="75">
        <f t="shared" si="214"/>
        <v>0</v>
      </c>
      <c r="BN142" s="75"/>
      <c r="BO142" s="75">
        <f t="shared" si="215"/>
        <v>0</v>
      </c>
      <c r="BP142" s="75">
        <f t="shared" si="216"/>
        <v>0</v>
      </c>
      <c r="BQ142" s="75">
        <f t="shared" si="217"/>
        <v>0</v>
      </c>
      <c r="BR142" s="75">
        <f t="shared" si="218"/>
        <v>0</v>
      </c>
      <c r="BS142" s="75">
        <f t="shared" si="219"/>
        <v>0</v>
      </c>
      <c r="BT142" s="75">
        <f t="shared" si="220"/>
        <v>0</v>
      </c>
      <c r="BU142" s="75">
        <f t="shared" si="221"/>
        <v>0</v>
      </c>
      <c r="BV142" s="75">
        <f t="shared" si="222"/>
        <v>0</v>
      </c>
      <c r="BW142" s="75">
        <f t="shared" si="223"/>
        <v>0</v>
      </c>
      <c r="BX142" s="75"/>
      <c r="BY142" s="75">
        <f t="shared" si="241"/>
        <v>0</v>
      </c>
      <c r="BZ142" s="75">
        <f t="shared" si="224"/>
        <v>13385000</v>
      </c>
      <c r="CA142" s="25">
        <f t="shared" si="244"/>
        <v>0.24867134502923977</v>
      </c>
      <c r="CB142" s="75">
        <f t="shared" si="225"/>
        <v>21261400</v>
      </c>
      <c r="CC142" s="75"/>
      <c r="CD142" s="75"/>
      <c r="CE142" s="75"/>
      <c r="CF142" s="75"/>
      <c r="CG142" s="75"/>
      <c r="CH142" s="75"/>
      <c r="CI142" s="75"/>
      <c r="CJ142" s="75"/>
      <c r="CK142" s="75"/>
      <c r="CL142" s="75"/>
      <c r="CM142" s="75"/>
      <c r="CN142" s="75"/>
      <c r="CO142" s="75"/>
      <c r="CP142" s="75"/>
      <c r="CQ142" s="75"/>
      <c r="CR142" s="75"/>
      <c r="CS142" s="75"/>
      <c r="CT142" s="75"/>
      <c r="CU142" s="75"/>
      <c r="CV142" s="75">
        <f>+'[1]AGOSTO 2015'!$H$156</f>
        <v>21261400</v>
      </c>
      <c r="CW142" s="25">
        <f t="shared" si="245"/>
        <v>0.75132865497076029</v>
      </c>
      <c r="CX142" s="75">
        <f t="shared" si="226"/>
        <v>64238600</v>
      </c>
      <c r="CY142" s="75"/>
      <c r="CZ142" s="75"/>
      <c r="DA142" s="75"/>
      <c r="DB142" s="75">
        <f t="shared" si="227"/>
        <v>0</v>
      </c>
      <c r="DC142" s="75">
        <f t="shared" si="228"/>
        <v>0</v>
      </c>
      <c r="DD142" s="75">
        <f t="shared" si="229"/>
        <v>0</v>
      </c>
      <c r="DE142" s="75">
        <f t="shared" si="230"/>
        <v>0</v>
      </c>
      <c r="DF142" s="75"/>
      <c r="DG142" s="75">
        <f t="shared" si="231"/>
        <v>0</v>
      </c>
      <c r="DH142" s="75">
        <f t="shared" si="232"/>
        <v>0</v>
      </c>
      <c r="DI142" s="75"/>
      <c r="DJ142" s="75">
        <f t="shared" si="233"/>
        <v>0</v>
      </c>
      <c r="DK142" s="75">
        <f t="shared" si="234"/>
        <v>0</v>
      </c>
      <c r="DL142" s="75">
        <f t="shared" si="235"/>
        <v>0</v>
      </c>
      <c r="DM142" s="75">
        <f t="shared" si="236"/>
        <v>0</v>
      </c>
      <c r="DN142" s="75">
        <f t="shared" si="237"/>
        <v>0</v>
      </c>
      <c r="DO142" s="75">
        <f t="shared" si="238"/>
        <v>0</v>
      </c>
      <c r="DP142" s="75">
        <f t="shared" si="239"/>
        <v>0</v>
      </c>
      <c r="DQ142" s="75"/>
      <c r="DR142" s="75">
        <f t="shared" si="240"/>
        <v>64238600</v>
      </c>
    </row>
    <row r="143" spans="1:123" ht="24" hidden="1" customHeight="1" x14ac:dyDescent="0.3">
      <c r="A143" s="246"/>
      <c r="B143" s="271"/>
      <c r="C143" s="272" t="s">
        <v>117</v>
      </c>
      <c r="D143" s="272" t="s">
        <v>116</v>
      </c>
      <c r="E143" s="273">
        <v>111</v>
      </c>
      <c r="F143" s="181" t="s">
        <v>12</v>
      </c>
      <c r="G143" s="228"/>
      <c r="H143" s="79">
        <f t="shared" si="204"/>
        <v>0</v>
      </c>
      <c r="I143" s="79">
        <f t="shared" si="205"/>
        <v>0</v>
      </c>
      <c r="J143" s="78"/>
      <c r="K143" s="78"/>
      <c r="L143" s="78"/>
      <c r="M143" s="75">
        <f t="shared" si="206"/>
        <v>0</v>
      </c>
      <c r="N143" s="75"/>
      <c r="O143" s="75"/>
      <c r="P143" s="75"/>
      <c r="Q143" s="75">
        <f>400000000-400000000</f>
        <v>0</v>
      </c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89"/>
      <c r="AI143" s="25" t="e">
        <f t="shared" si="242"/>
        <v>#DIV/0!</v>
      </c>
      <c r="AJ143" s="75">
        <f t="shared" si="207"/>
        <v>0</v>
      </c>
      <c r="AK143" s="75"/>
      <c r="AL143" s="75"/>
      <c r="AM143" s="75"/>
      <c r="AN143" s="75"/>
      <c r="AO143" s="75"/>
      <c r="AP143" s="75"/>
      <c r="AQ143" s="75"/>
      <c r="AR143" s="75"/>
      <c r="AS143" s="75"/>
      <c r="AT143" s="75"/>
      <c r="AU143" s="75"/>
      <c r="AV143" s="75"/>
      <c r="AW143" s="75"/>
      <c r="AX143" s="75"/>
      <c r="AY143" s="75"/>
      <c r="AZ143" s="75"/>
      <c r="BA143" s="75"/>
      <c r="BB143" s="75"/>
      <c r="BC143" s="75"/>
      <c r="BD143" s="75"/>
      <c r="BE143" s="25" t="e">
        <f t="shared" si="243"/>
        <v>#DIV/0!</v>
      </c>
      <c r="BF143" s="75">
        <f t="shared" si="208"/>
        <v>0</v>
      </c>
      <c r="BG143" s="75"/>
      <c r="BH143" s="75"/>
      <c r="BI143" s="75"/>
      <c r="BJ143" s="75">
        <f t="shared" ref="BJ143:BJ186" si="246">Q143-AN143</f>
        <v>0</v>
      </c>
      <c r="BK143" s="75"/>
      <c r="BL143" s="75"/>
      <c r="BM143" s="75"/>
      <c r="BN143" s="75"/>
      <c r="BO143" s="75"/>
      <c r="BP143" s="75"/>
      <c r="BQ143" s="75"/>
      <c r="BR143" s="75"/>
      <c r="BS143" s="75"/>
      <c r="BT143" s="75"/>
      <c r="BU143" s="75"/>
      <c r="BV143" s="75"/>
      <c r="BW143" s="75"/>
      <c r="BX143" s="75"/>
      <c r="BY143" s="75"/>
      <c r="BZ143" s="75"/>
      <c r="CA143" s="25" t="e">
        <f t="shared" si="244"/>
        <v>#DIV/0!</v>
      </c>
      <c r="CB143" s="75">
        <f t="shared" si="225"/>
        <v>0</v>
      </c>
      <c r="CC143" s="75"/>
      <c r="CD143" s="75"/>
      <c r="CE143" s="75"/>
      <c r="CF143" s="75"/>
      <c r="CG143" s="75"/>
      <c r="CH143" s="75"/>
      <c r="CI143" s="75"/>
      <c r="CJ143" s="75"/>
      <c r="CK143" s="75"/>
      <c r="CL143" s="75"/>
      <c r="CM143" s="75"/>
      <c r="CN143" s="75"/>
      <c r="CO143" s="75"/>
      <c r="CP143" s="75"/>
      <c r="CQ143" s="75"/>
      <c r="CR143" s="75"/>
      <c r="CS143" s="75"/>
      <c r="CT143" s="75"/>
      <c r="CU143" s="75"/>
      <c r="CV143" s="75"/>
      <c r="CW143" s="25" t="e">
        <f t="shared" si="245"/>
        <v>#DIV/0!</v>
      </c>
      <c r="CX143" s="75">
        <f t="shared" si="226"/>
        <v>0</v>
      </c>
      <c r="CY143" s="75"/>
      <c r="CZ143" s="75"/>
      <c r="DA143" s="75"/>
      <c r="DB143" s="75">
        <f t="shared" ref="DB143:DB186" si="247">Q143-CF143</f>
        <v>0</v>
      </c>
      <c r="DC143" s="75"/>
      <c r="DD143" s="75"/>
      <c r="DE143" s="75"/>
      <c r="DF143" s="75"/>
      <c r="DG143" s="75"/>
      <c r="DH143" s="75"/>
      <c r="DI143" s="75"/>
      <c r="DJ143" s="75"/>
      <c r="DK143" s="75"/>
      <c r="DL143" s="75"/>
      <c r="DM143" s="75"/>
      <c r="DN143" s="75"/>
      <c r="DO143" s="75"/>
      <c r="DP143" s="75"/>
      <c r="DQ143" s="75"/>
      <c r="DR143" s="75"/>
    </row>
    <row r="144" spans="1:123" ht="64.5" hidden="1" customHeight="1" x14ac:dyDescent="0.3">
      <c r="A144" s="246"/>
      <c r="B144" s="271" t="s">
        <v>115</v>
      </c>
      <c r="C144" s="272" t="s">
        <v>114</v>
      </c>
      <c r="D144" s="272" t="s">
        <v>113</v>
      </c>
      <c r="E144" s="273">
        <v>211</v>
      </c>
      <c r="F144" s="181" t="s">
        <v>12</v>
      </c>
      <c r="G144" s="228"/>
      <c r="H144" s="79">
        <f t="shared" si="204"/>
        <v>189556618</v>
      </c>
      <c r="I144" s="79">
        <f t="shared" si="205"/>
        <v>0</v>
      </c>
      <c r="J144" s="78"/>
      <c r="K144" s="78"/>
      <c r="L144" s="78"/>
      <c r="M144" s="75">
        <f t="shared" si="206"/>
        <v>189556618</v>
      </c>
      <c r="N144" s="75"/>
      <c r="O144" s="75"/>
      <c r="P144" s="75"/>
      <c r="Q144" s="75">
        <f>500000000-100000000-210443382</f>
        <v>189556618</v>
      </c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I144" s="25">
        <f t="shared" si="242"/>
        <v>1</v>
      </c>
      <c r="AJ144" s="75">
        <f t="shared" si="207"/>
        <v>189556618</v>
      </c>
      <c r="AK144" s="75"/>
      <c r="AL144" s="75"/>
      <c r="AM144" s="75"/>
      <c r="AN144" s="75">
        <v>189556618</v>
      </c>
      <c r="AO144" s="75"/>
      <c r="AP144" s="75"/>
      <c r="AQ144" s="75"/>
      <c r="AR144" s="75"/>
      <c r="AS144" s="75"/>
      <c r="AT144" s="75"/>
      <c r="AU144" s="75"/>
      <c r="AV144" s="75"/>
      <c r="AW144" s="75"/>
      <c r="AX144" s="75"/>
      <c r="AY144" s="75"/>
      <c r="AZ144" s="75"/>
      <c r="BA144" s="75"/>
      <c r="BB144" s="75"/>
      <c r="BC144" s="75"/>
      <c r="BD144" s="75"/>
      <c r="BE144" s="25">
        <f t="shared" si="243"/>
        <v>0</v>
      </c>
      <c r="BF144" s="75">
        <f t="shared" si="208"/>
        <v>0</v>
      </c>
      <c r="BG144" s="75">
        <f t="shared" ref="BG144:BG165" si="248">+N144-AK144</f>
        <v>0</v>
      </c>
      <c r="BH144" s="75">
        <f t="shared" ref="BH144:BH165" si="249">O144-AL144</f>
        <v>0</v>
      </c>
      <c r="BI144" s="75"/>
      <c r="BJ144" s="75">
        <f t="shared" si="246"/>
        <v>0</v>
      </c>
      <c r="BK144" s="75">
        <f t="shared" ref="BK144:BK165" si="250">R144-AO144</f>
        <v>0</v>
      </c>
      <c r="BL144" s="75">
        <f t="shared" ref="BL144:BL165" si="251">+S144-AP144</f>
        <v>0</v>
      </c>
      <c r="BM144" s="75">
        <f t="shared" ref="BM144:BM165" si="252">+T144-AQ144</f>
        <v>0</v>
      </c>
      <c r="BN144" s="75"/>
      <c r="BO144" s="75">
        <f t="shared" ref="BO144:BO165" si="253">+V144-AS144</f>
        <v>0</v>
      </c>
      <c r="BP144" s="75">
        <f t="shared" ref="BP144:BP165" si="254">+W144-AT144</f>
        <v>0</v>
      </c>
      <c r="BQ144" s="75">
        <f t="shared" ref="BQ144:BQ165" si="255">+X144-AU144</f>
        <v>0</v>
      </c>
      <c r="BR144" s="75">
        <f t="shared" ref="BR144:BR165" si="256">+Y144-AV144</f>
        <v>0</v>
      </c>
      <c r="BS144" s="75">
        <f t="shared" ref="BS144:BS165" si="257">+Z144-AW144</f>
        <v>0</v>
      </c>
      <c r="BT144" s="75">
        <f t="shared" ref="BT144:BT165" si="258">+AA144-AX144</f>
        <v>0</v>
      </c>
      <c r="BU144" s="75">
        <f t="shared" ref="BU144:BU165" si="259">+AB144-AY144</f>
        <v>0</v>
      </c>
      <c r="BV144" s="75">
        <f t="shared" ref="BV144:BV165" si="260">+AC144-AZ144</f>
        <v>0</v>
      </c>
      <c r="BW144" s="75">
        <f t="shared" ref="BW144:BW165" si="261">+AD144-BA144</f>
        <v>0</v>
      </c>
      <c r="BX144" s="75"/>
      <c r="BY144" s="75">
        <f t="shared" ref="BY144:BY165" si="262">+AF144-BC144</f>
        <v>0</v>
      </c>
      <c r="BZ144" s="75">
        <f t="shared" ref="BZ144:BZ165" si="263">+AG144-BD144</f>
        <v>0</v>
      </c>
      <c r="CA144" s="25">
        <f t="shared" si="244"/>
        <v>1</v>
      </c>
      <c r="CB144" s="75">
        <f t="shared" si="225"/>
        <v>189556618</v>
      </c>
      <c r="CC144" s="75"/>
      <c r="CD144" s="75"/>
      <c r="CE144" s="75"/>
      <c r="CF144" s="75">
        <f>+'[6]JUNIO 2015'!$H$171</f>
        <v>189556618</v>
      </c>
      <c r="CG144" s="75"/>
      <c r="CH144" s="75"/>
      <c r="CI144" s="75"/>
      <c r="CJ144" s="75"/>
      <c r="CK144" s="75"/>
      <c r="CL144" s="75"/>
      <c r="CM144" s="75"/>
      <c r="CN144" s="75"/>
      <c r="CO144" s="75"/>
      <c r="CP144" s="75"/>
      <c r="CQ144" s="75"/>
      <c r="CR144" s="75"/>
      <c r="CS144" s="75"/>
      <c r="CT144" s="75"/>
      <c r="CU144" s="75"/>
      <c r="CV144" s="75"/>
      <c r="CW144" s="25">
        <f t="shared" si="245"/>
        <v>0</v>
      </c>
      <c r="CX144" s="75">
        <f t="shared" si="226"/>
        <v>0</v>
      </c>
      <c r="CY144" s="75"/>
      <c r="CZ144" s="75"/>
      <c r="DA144" s="75"/>
      <c r="DB144" s="75">
        <f t="shared" si="247"/>
        <v>0</v>
      </c>
      <c r="DC144" s="75">
        <f t="shared" ref="DC144:DC165" si="264">R144-CG144</f>
        <v>0</v>
      </c>
      <c r="DD144" s="75">
        <f t="shared" ref="DD144:DD165" si="265">S144-CH144</f>
        <v>0</v>
      </c>
      <c r="DE144" s="75">
        <f t="shared" ref="DE144:DE165" si="266">T144-CI144</f>
        <v>0</v>
      </c>
      <c r="DF144" s="75"/>
      <c r="DG144" s="75">
        <f t="shared" ref="DG144:DG165" si="267">+V144-CK144</f>
        <v>0</v>
      </c>
      <c r="DH144" s="75">
        <f t="shared" ref="DH144:DH165" si="268">+W144-CL144</f>
        <v>0</v>
      </c>
      <c r="DI144" s="75"/>
      <c r="DJ144" s="75">
        <f t="shared" ref="DJ144:DJ165" si="269">Y144-CN144</f>
        <v>0</v>
      </c>
      <c r="DK144" s="75">
        <f t="shared" ref="DK144:DK165" si="270">Z144-CO144</f>
        <v>0</v>
      </c>
      <c r="DL144" s="75">
        <f t="shared" ref="DL144:DL165" si="271">AA144-CP144</f>
        <v>0</v>
      </c>
      <c r="DM144" s="75">
        <f t="shared" ref="DM144:DM165" si="272">+AB144-CQ144</f>
        <v>0</v>
      </c>
      <c r="DN144" s="75">
        <f t="shared" ref="DN144:DN165" si="273">+AC144-CR144</f>
        <v>0</v>
      </c>
      <c r="DO144" s="75">
        <f t="shared" ref="DO144:DO165" si="274">+AD144-CS144</f>
        <v>0</v>
      </c>
      <c r="DP144" s="75">
        <f t="shared" ref="DP144:DP165" si="275">+AE144-CT144</f>
        <v>0</v>
      </c>
      <c r="DQ144" s="75"/>
      <c r="DR144" s="75">
        <f t="shared" ref="DR144:DR165" si="276">+AG144-CV144</f>
        <v>0</v>
      </c>
    </row>
    <row r="145" spans="1:122" ht="33" hidden="1" customHeight="1" x14ac:dyDescent="0.3">
      <c r="A145" s="246"/>
      <c r="B145" s="271"/>
      <c r="C145" s="272" t="s">
        <v>112</v>
      </c>
      <c r="D145" s="272" t="s">
        <v>111</v>
      </c>
      <c r="E145" s="273">
        <v>211</v>
      </c>
      <c r="F145" s="181" t="s">
        <v>12</v>
      </c>
      <c r="G145" s="228"/>
      <c r="H145" s="79">
        <f t="shared" si="204"/>
        <v>48956036</v>
      </c>
      <c r="I145" s="79">
        <f t="shared" si="205"/>
        <v>60887622</v>
      </c>
      <c r="J145" s="78"/>
      <c r="K145" s="78"/>
      <c r="L145" s="78"/>
      <c r="M145" s="75">
        <f t="shared" si="206"/>
        <v>109843658</v>
      </c>
      <c r="N145" s="75"/>
      <c r="O145" s="75"/>
      <c r="P145" s="75"/>
      <c r="Q145" s="75">
        <f>498457340+300000000-790156342</f>
        <v>8300998</v>
      </c>
      <c r="R145" s="75"/>
      <c r="S145" s="75"/>
      <c r="T145" s="75"/>
      <c r="U145" s="75"/>
      <c r="V145" s="75"/>
      <c r="W145" s="75"/>
      <c r="X145" s="75"/>
      <c r="Y145" s="75">
        <v>101542660</v>
      </c>
      <c r="Z145" s="75"/>
      <c r="AA145" s="75"/>
      <c r="AB145" s="75"/>
      <c r="AC145" s="75"/>
      <c r="AD145" s="75"/>
      <c r="AE145" s="75"/>
      <c r="AF145" s="75"/>
      <c r="AG145" s="75"/>
      <c r="AI145" s="25">
        <f t="shared" si="242"/>
        <v>0.4456883254925833</v>
      </c>
      <c r="AJ145" s="75">
        <f t="shared" si="207"/>
        <v>48956036</v>
      </c>
      <c r="AK145" s="75"/>
      <c r="AL145" s="75"/>
      <c r="AM145" s="75"/>
      <c r="AN145" s="75">
        <f>+'[6]JUNIO 2015'!$M$180</f>
        <v>8300998</v>
      </c>
      <c r="AO145" s="75"/>
      <c r="AP145" s="75"/>
      <c r="AQ145" s="75"/>
      <c r="AR145" s="75"/>
      <c r="AS145" s="75"/>
      <c r="AT145" s="75"/>
      <c r="AU145" s="75"/>
      <c r="AV145" s="75">
        <f>+'[6]JUNIO 2015'!$U$180</f>
        <v>40655038</v>
      </c>
      <c r="AW145" s="75"/>
      <c r="AX145" s="75"/>
      <c r="AY145" s="75"/>
      <c r="AZ145" s="75"/>
      <c r="BA145" s="75"/>
      <c r="BB145" s="75"/>
      <c r="BC145" s="75"/>
      <c r="BD145" s="75"/>
      <c r="BE145" s="25">
        <f t="shared" si="243"/>
        <v>0.5543116745074167</v>
      </c>
      <c r="BF145" s="75">
        <f t="shared" si="208"/>
        <v>60887622</v>
      </c>
      <c r="BG145" s="75">
        <f t="shared" si="248"/>
        <v>0</v>
      </c>
      <c r="BH145" s="75">
        <f t="shared" si="249"/>
        <v>0</v>
      </c>
      <c r="BI145" s="75"/>
      <c r="BJ145" s="75">
        <f t="shared" si="246"/>
        <v>0</v>
      </c>
      <c r="BK145" s="75">
        <f t="shared" si="250"/>
        <v>0</v>
      </c>
      <c r="BL145" s="75">
        <f t="shared" si="251"/>
        <v>0</v>
      </c>
      <c r="BM145" s="75">
        <f t="shared" si="252"/>
        <v>0</v>
      </c>
      <c r="BN145" s="75"/>
      <c r="BO145" s="75">
        <f t="shared" si="253"/>
        <v>0</v>
      </c>
      <c r="BP145" s="75">
        <f t="shared" si="254"/>
        <v>0</v>
      </c>
      <c r="BQ145" s="75">
        <f t="shared" si="255"/>
        <v>0</v>
      </c>
      <c r="BR145" s="75">
        <f t="shared" si="256"/>
        <v>60887622</v>
      </c>
      <c r="BS145" s="75">
        <f t="shared" si="257"/>
        <v>0</v>
      </c>
      <c r="BT145" s="75">
        <f t="shared" si="258"/>
        <v>0</v>
      </c>
      <c r="BU145" s="75">
        <f t="shared" si="259"/>
        <v>0</v>
      </c>
      <c r="BV145" s="75">
        <f t="shared" si="260"/>
        <v>0</v>
      </c>
      <c r="BW145" s="75">
        <f t="shared" si="261"/>
        <v>0</v>
      </c>
      <c r="BX145" s="75"/>
      <c r="BY145" s="75">
        <f t="shared" si="262"/>
        <v>0</v>
      </c>
      <c r="BZ145" s="75">
        <f t="shared" si="263"/>
        <v>0</v>
      </c>
      <c r="CA145" s="25">
        <f t="shared" si="244"/>
        <v>0.4456883254925833</v>
      </c>
      <c r="CB145" s="75">
        <f t="shared" si="225"/>
        <v>48956036</v>
      </c>
      <c r="CC145" s="75"/>
      <c r="CD145" s="75"/>
      <c r="CE145" s="75"/>
      <c r="CF145" s="75">
        <f>+'[3]ABRIL 2015'!$H$166</f>
        <v>8300998</v>
      </c>
      <c r="CG145" s="75"/>
      <c r="CH145" s="75"/>
      <c r="CI145" s="75"/>
      <c r="CJ145" s="75"/>
      <c r="CK145" s="75"/>
      <c r="CL145" s="75"/>
      <c r="CM145" s="75"/>
      <c r="CN145" s="75">
        <f>8301038+32354000</f>
        <v>40655038</v>
      </c>
      <c r="CO145" s="75"/>
      <c r="CP145" s="75"/>
      <c r="CQ145" s="75"/>
      <c r="CR145" s="75"/>
      <c r="CS145" s="75"/>
      <c r="CT145" s="75"/>
      <c r="CU145" s="75"/>
      <c r="CV145" s="75"/>
      <c r="CW145" s="25">
        <f t="shared" si="245"/>
        <v>0.5543116745074167</v>
      </c>
      <c r="CX145" s="75">
        <f t="shared" si="226"/>
        <v>60887622</v>
      </c>
      <c r="CY145" s="75"/>
      <c r="CZ145" s="75"/>
      <c r="DA145" s="75"/>
      <c r="DB145" s="75">
        <f t="shared" si="247"/>
        <v>0</v>
      </c>
      <c r="DC145" s="75">
        <f t="shared" si="264"/>
        <v>0</v>
      </c>
      <c r="DD145" s="75">
        <f t="shared" si="265"/>
        <v>0</v>
      </c>
      <c r="DE145" s="75">
        <f t="shared" si="266"/>
        <v>0</v>
      </c>
      <c r="DF145" s="75"/>
      <c r="DG145" s="75">
        <f t="shared" si="267"/>
        <v>0</v>
      </c>
      <c r="DH145" s="75">
        <f t="shared" si="268"/>
        <v>0</v>
      </c>
      <c r="DI145" s="75"/>
      <c r="DJ145" s="75">
        <f t="shared" si="269"/>
        <v>60887622</v>
      </c>
      <c r="DK145" s="75">
        <f t="shared" si="270"/>
        <v>0</v>
      </c>
      <c r="DL145" s="75">
        <f t="shared" si="271"/>
        <v>0</v>
      </c>
      <c r="DM145" s="75">
        <f t="shared" si="272"/>
        <v>0</v>
      </c>
      <c r="DN145" s="75">
        <f t="shared" si="273"/>
        <v>0</v>
      </c>
      <c r="DO145" s="75">
        <f t="shared" si="274"/>
        <v>0</v>
      </c>
      <c r="DP145" s="75">
        <f t="shared" si="275"/>
        <v>0</v>
      </c>
      <c r="DQ145" s="75"/>
      <c r="DR145" s="75">
        <f t="shared" si="276"/>
        <v>0</v>
      </c>
    </row>
    <row r="146" spans="1:122" ht="33" hidden="1" customHeight="1" x14ac:dyDescent="0.3">
      <c r="A146" s="246"/>
      <c r="B146" s="271"/>
      <c r="C146" s="272" t="s">
        <v>110</v>
      </c>
      <c r="D146" s="272" t="s">
        <v>109</v>
      </c>
      <c r="E146" s="273">
        <v>211</v>
      </c>
      <c r="F146" s="181" t="s">
        <v>12</v>
      </c>
      <c r="G146" s="228"/>
      <c r="H146" s="79">
        <f t="shared" si="204"/>
        <v>0</v>
      </c>
      <c r="I146" s="79">
        <f t="shared" si="205"/>
        <v>0</v>
      </c>
      <c r="J146" s="78"/>
      <c r="K146" s="78"/>
      <c r="L146" s="78"/>
      <c r="M146" s="75">
        <f t="shared" si="206"/>
        <v>0</v>
      </c>
      <c r="N146" s="45"/>
      <c r="O146" s="45"/>
      <c r="P146" s="45"/>
      <c r="Q146" s="75">
        <f>600000000-600000000</f>
        <v>0</v>
      </c>
      <c r="R146" s="45"/>
      <c r="S146" s="45"/>
      <c r="T146" s="75"/>
      <c r="U146" s="75"/>
      <c r="V146" s="75"/>
      <c r="W146" s="75"/>
      <c r="X146" s="75"/>
      <c r="Y146" s="75"/>
      <c r="Z146" s="75"/>
      <c r="AA146" s="24"/>
      <c r="AB146" s="24"/>
      <c r="AC146" s="24"/>
      <c r="AD146" s="24"/>
      <c r="AE146" s="24"/>
      <c r="AF146" s="24"/>
      <c r="AG146" s="75"/>
      <c r="AI146" s="25" t="e">
        <f t="shared" si="242"/>
        <v>#DIV/0!</v>
      </c>
      <c r="AJ146" s="75">
        <f t="shared" si="207"/>
        <v>0</v>
      </c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  <c r="AX146" s="75"/>
      <c r="AY146" s="75"/>
      <c r="AZ146" s="75"/>
      <c r="BA146" s="75"/>
      <c r="BB146" s="75"/>
      <c r="BC146" s="75"/>
      <c r="BD146" s="75"/>
      <c r="BE146" s="25" t="e">
        <f t="shared" si="243"/>
        <v>#DIV/0!</v>
      </c>
      <c r="BF146" s="75">
        <f t="shared" si="208"/>
        <v>0</v>
      </c>
      <c r="BG146" s="75">
        <f t="shared" si="248"/>
        <v>0</v>
      </c>
      <c r="BH146" s="75">
        <f t="shared" si="249"/>
        <v>0</v>
      </c>
      <c r="BI146" s="75"/>
      <c r="BJ146" s="75">
        <f t="shared" si="246"/>
        <v>0</v>
      </c>
      <c r="BK146" s="75">
        <f t="shared" si="250"/>
        <v>0</v>
      </c>
      <c r="BL146" s="75">
        <f t="shared" si="251"/>
        <v>0</v>
      </c>
      <c r="BM146" s="75">
        <f t="shared" si="252"/>
        <v>0</v>
      </c>
      <c r="BN146" s="75"/>
      <c r="BO146" s="75">
        <f t="shared" si="253"/>
        <v>0</v>
      </c>
      <c r="BP146" s="75">
        <f t="shared" si="254"/>
        <v>0</v>
      </c>
      <c r="BQ146" s="75">
        <f t="shared" si="255"/>
        <v>0</v>
      </c>
      <c r="BR146" s="75">
        <f t="shared" si="256"/>
        <v>0</v>
      </c>
      <c r="BS146" s="75">
        <f t="shared" si="257"/>
        <v>0</v>
      </c>
      <c r="BT146" s="75">
        <f t="shared" si="258"/>
        <v>0</v>
      </c>
      <c r="BU146" s="75">
        <f t="shared" si="259"/>
        <v>0</v>
      </c>
      <c r="BV146" s="75">
        <f t="shared" si="260"/>
        <v>0</v>
      </c>
      <c r="BW146" s="75">
        <f t="shared" si="261"/>
        <v>0</v>
      </c>
      <c r="BX146" s="75"/>
      <c r="BY146" s="75">
        <f t="shared" si="262"/>
        <v>0</v>
      </c>
      <c r="BZ146" s="75">
        <f t="shared" si="263"/>
        <v>0</v>
      </c>
      <c r="CA146" s="25" t="e">
        <f t="shared" si="244"/>
        <v>#DIV/0!</v>
      </c>
      <c r="CB146" s="75">
        <f t="shared" si="225"/>
        <v>0</v>
      </c>
      <c r="CC146" s="75"/>
      <c r="CD146" s="75"/>
      <c r="CE146" s="75"/>
      <c r="CF146" s="75"/>
      <c r="CG146" s="75"/>
      <c r="CH146" s="75"/>
      <c r="CI146" s="75"/>
      <c r="CJ146" s="75"/>
      <c r="CK146" s="75"/>
      <c r="CL146" s="75"/>
      <c r="CM146" s="75"/>
      <c r="CN146" s="75"/>
      <c r="CO146" s="75"/>
      <c r="CP146" s="75"/>
      <c r="CQ146" s="75"/>
      <c r="CR146" s="75"/>
      <c r="CS146" s="75"/>
      <c r="CT146" s="75"/>
      <c r="CU146" s="75"/>
      <c r="CV146" s="75"/>
      <c r="CW146" s="25" t="e">
        <f t="shared" si="245"/>
        <v>#DIV/0!</v>
      </c>
      <c r="CX146" s="75">
        <f t="shared" si="226"/>
        <v>0</v>
      </c>
      <c r="CY146" s="75"/>
      <c r="CZ146" s="75"/>
      <c r="DA146" s="75"/>
      <c r="DB146" s="75">
        <f t="shared" si="247"/>
        <v>0</v>
      </c>
      <c r="DC146" s="75">
        <f t="shared" si="264"/>
        <v>0</v>
      </c>
      <c r="DD146" s="75">
        <f t="shared" si="265"/>
        <v>0</v>
      </c>
      <c r="DE146" s="75">
        <f t="shared" si="266"/>
        <v>0</v>
      </c>
      <c r="DF146" s="75"/>
      <c r="DG146" s="75">
        <f t="shared" si="267"/>
        <v>0</v>
      </c>
      <c r="DH146" s="75">
        <f t="shared" si="268"/>
        <v>0</v>
      </c>
      <c r="DI146" s="75"/>
      <c r="DJ146" s="75">
        <f t="shared" si="269"/>
        <v>0</v>
      </c>
      <c r="DK146" s="75">
        <f t="shared" si="270"/>
        <v>0</v>
      </c>
      <c r="DL146" s="75">
        <f t="shared" si="271"/>
        <v>0</v>
      </c>
      <c r="DM146" s="75">
        <f t="shared" si="272"/>
        <v>0</v>
      </c>
      <c r="DN146" s="75">
        <f t="shared" si="273"/>
        <v>0</v>
      </c>
      <c r="DO146" s="75">
        <f t="shared" si="274"/>
        <v>0</v>
      </c>
      <c r="DP146" s="75">
        <f t="shared" si="275"/>
        <v>0</v>
      </c>
      <c r="DQ146" s="75">
        <f t="shared" ref="DQ146:DQ165" si="277">+AF146-CU146</f>
        <v>0</v>
      </c>
      <c r="DR146" s="75">
        <f t="shared" si="276"/>
        <v>0</v>
      </c>
    </row>
    <row r="147" spans="1:122" ht="35.25" hidden="1" customHeight="1" x14ac:dyDescent="0.3">
      <c r="A147" s="246"/>
      <c r="B147" s="271"/>
      <c r="C147" s="272" t="s">
        <v>108</v>
      </c>
      <c r="D147" s="272" t="s">
        <v>107</v>
      </c>
      <c r="E147" s="273">
        <v>211</v>
      </c>
      <c r="F147" s="181" t="s">
        <v>12</v>
      </c>
      <c r="G147" s="228"/>
      <c r="H147" s="79">
        <f t="shared" si="204"/>
        <v>372698968</v>
      </c>
      <c r="I147" s="79">
        <f t="shared" si="205"/>
        <v>2518133</v>
      </c>
      <c r="J147" s="78"/>
      <c r="K147" s="78"/>
      <c r="L147" s="78"/>
      <c r="M147" s="75">
        <f t="shared" si="206"/>
        <v>375217101</v>
      </c>
      <c r="N147" s="45"/>
      <c r="O147" s="45"/>
      <c r="P147" s="45"/>
      <c r="Q147" s="75">
        <f>1007000000-631782899</f>
        <v>375217101</v>
      </c>
      <c r="R147" s="45"/>
      <c r="S147" s="45"/>
      <c r="T147" s="75"/>
      <c r="U147" s="75"/>
      <c r="V147" s="75"/>
      <c r="W147" s="75"/>
      <c r="X147" s="75"/>
      <c r="Y147" s="75"/>
      <c r="Z147" s="75"/>
      <c r="AA147" s="24"/>
      <c r="AB147" s="24"/>
      <c r="AC147" s="24"/>
      <c r="AD147" s="24"/>
      <c r="AE147" s="24"/>
      <c r="AF147" s="24"/>
      <c r="AG147" s="75"/>
      <c r="AI147" s="25">
        <f t="shared" si="242"/>
        <v>0.99328886398490668</v>
      </c>
      <c r="AJ147" s="75">
        <f t="shared" si="207"/>
        <v>372698968</v>
      </c>
      <c r="AK147" s="75"/>
      <c r="AL147" s="75"/>
      <c r="AM147" s="75"/>
      <c r="AN147" s="75">
        <f>+'[2]JULIO 2015'!$M$208</f>
        <v>372698968</v>
      </c>
      <c r="AO147" s="75"/>
      <c r="AP147" s="75"/>
      <c r="AQ147" s="75"/>
      <c r="AR147" s="75"/>
      <c r="AS147" s="75"/>
      <c r="AT147" s="75"/>
      <c r="AU147" s="75"/>
      <c r="AV147" s="75"/>
      <c r="AW147" s="75"/>
      <c r="AX147" s="75"/>
      <c r="AY147" s="75"/>
      <c r="AZ147" s="75"/>
      <c r="BA147" s="75"/>
      <c r="BB147" s="75"/>
      <c r="BC147" s="75"/>
      <c r="BD147" s="75"/>
      <c r="BE147" s="25">
        <f t="shared" si="243"/>
        <v>6.7111360150933219E-3</v>
      </c>
      <c r="BF147" s="75">
        <f t="shared" si="208"/>
        <v>2518133</v>
      </c>
      <c r="BG147" s="75">
        <f t="shared" si="248"/>
        <v>0</v>
      </c>
      <c r="BH147" s="75">
        <f t="shared" si="249"/>
        <v>0</v>
      </c>
      <c r="BI147" s="75"/>
      <c r="BJ147" s="75">
        <f t="shared" si="246"/>
        <v>2518133</v>
      </c>
      <c r="BK147" s="75">
        <f t="shared" si="250"/>
        <v>0</v>
      </c>
      <c r="BL147" s="75">
        <f t="shared" si="251"/>
        <v>0</v>
      </c>
      <c r="BM147" s="75">
        <f t="shared" si="252"/>
        <v>0</v>
      </c>
      <c r="BN147" s="75"/>
      <c r="BO147" s="75">
        <f t="shared" si="253"/>
        <v>0</v>
      </c>
      <c r="BP147" s="75">
        <f t="shared" si="254"/>
        <v>0</v>
      </c>
      <c r="BQ147" s="75">
        <f t="shared" si="255"/>
        <v>0</v>
      </c>
      <c r="BR147" s="75">
        <f t="shared" si="256"/>
        <v>0</v>
      </c>
      <c r="BS147" s="75">
        <f t="shared" si="257"/>
        <v>0</v>
      </c>
      <c r="BT147" s="75">
        <f t="shared" si="258"/>
        <v>0</v>
      </c>
      <c r="BU147" s="75">
        <f t="shared" si="259"/>
        <v>0</v>
      </c>
      <c r="BV147" s="75">
        <f t="shared" si="260"/>
        <v>0</v>
      </c>
      <c r="BW147" s="75">
        <f t="shared" si="261"/>
        <v>0</v>
      </c>
      <c r="BX147" s="75"/>
      <c r="BY147" s="75">
        <f t="shared" si="262"/>
        <v>0</v>
      </c>
      <c r="BZ147" s="75">
        <f t="shared" si="263"/>
        <v>0</v>
      </c>
      <c r="CA147" s="25">
        <f t="shared" si="244"/>
        <v>0.99328886398490668</v>
      </c>
      <c r="CB147" s="75">
        <f t="shared" si="225"/>
        <v>372698968</v>
      </c>
      <c r="CC147" s="75"/>
      <c r="CD147" s="75"/>
      <c r="CE147" s="75"/>
      <c r="CF147" s="75">
        <f>+'[1]AGOSTO 2015'!$H$214</f>
        <v>372698968</v>
      </c>
      <c r="CG147" s="75"/>
      <c r="CH147" s="75"/>
      <c r="CI147" s="75"/>
      <c r="CJ147" s="75"/>
      <c r="CK147" s="75"/>
      <c r="CL147" s="75"/>
      <c r="CM147" s="75"/>
      <c r="CN147" s="75"/>
      <c r="CO147" s="75"/>
      <c r="CP147" s="75"/>
      <c r="CQ147" s="75"/>
      <c r="CR147" s="75"/>
      <c r="CS147" s="75"/>
      <c r="CT147" s="75"/>
      <c r="CU147" s="75"/>
      <c r="CV147" s="75"/>
      <c r="CW147" s="25">
        <f t="shared" si="245"/>
        <v>6.7111360150933219E-3</v>
      </c>
      <c r="CX147" s="75">
        <f t="shared" si="226"/>
        <v>2518133</v>
      </c>
      <c r="CY147" s="75"/>
      <c r="CZ147" s="75"/>
      <c r="DA147" s="75"/>
      <c r="DB147" s="75">
        <f t="shared" si="247"/>
        <v>2518133</v>
      </c>
      <c r="DC147" s="75">
        <f t="shared" si="264"/>
        <v>0</v>
      </c>
      <c r="DD147" s="75">
        <f t="shared" si="265"/>
        <v>0</v>
      </c>
      <c r="DE147" s="75">
        <f t="shared" si="266"/>
        <v>0</v>
      </c>
      <c r="DF147" s="75"/>
      <c r="DG147" s="75">
        <f t="shared" si="267"/>
        <v>0</v>
      </c>
      <c r="DH147" s="75">
        <f t="shared" si="268"/>
        <v>0</v>
      </c>
      <c r="DI147" s="75"/>
      <c r="DJ147" s="75">
        <f t="shared" si="269"/>
        <v>0</v>
      </c>
      <c r="DK147" s="75">
        <f t="shared" si="270"/>
        <v>0</v>
      </c>
      <c r="DL147" s="75">
        <f t="shared" si="271"/>
        <v>0</v>
      </c>
      <c r="DM147" s="75">
        <f t="shared" si="272"/>
        <v>0</v>
      </c>
      <c r="DN147" s="75">
        <f t="shared" si="273"/>
        <v>0</v>
      </c>
      <c r="DO147" s="75">
        <f t="shared" si="274"/>
        <v>0</v>
      </c>
      <c r="DP147" s="75">
        <f t="shared" si="275"/>
        <v>0</v>
      </c>
      <c r="DQ147" s="75">
        <f t="shared" si="277"/>
        <v>0</v>
      </c>
      <c r="DR147" s="75">
        <f t="shared" si="276"/>
        <v>0</v>
      </c>
    </row>
    <row r="148" spans="1:122" ht="49.5" hidden="1" customHeight="1" x14ac:dyDescent="0.3">
      <c r="A148" s="246"/>
      <c r="B148" s="271"/>
      <c r="C148" s="272" t="s">
        <v>106</v>
      </c>
      <c r="D148" s="272" t="s">
        <v>105</v>
      </c>
      <c r="E148" s="273">
        <v>211</v>
      </c>
      <c r="F148" s="181" t="s">
        <v>12</v>
      </c>
      <c r="G148" s="228"/>
      <c r="H148" s="79">
        <f t="shared" si="204"/>
        <v>244800000</v>
      </c>
      <c r="I148" s="79">
        <f t="shared" si="205"/>
        <v>0</v>
      </c>
      <c r="J148" s="78"/>
      <c r="K148" s="78"/>
      <c r="L148" s="78"/>
      <c r="M148" s="75">
        <f t="shared" si="206"/>
        <v>244800000</v>
      </c>
      <c r="N148" s="45"/>
      <c r="O148" s="45"/>
      <c r="P148" s="45"/>
      <c r="Q148" s="75">
        <f>2000000000-1755200000</f>
        <v>244800000</v>
      </c>
      <c r="R148" s="45"/>
      <c r="S148" s="45"/>
      <c r="T148" s="75"/>
      <c r="U148" s="75"/>
      <c r="V148" s="75"/>
      <c r="W148" s="75"/>
      <c r="X148" s="75"/>
      <c r="Y148" s="75"/>
      <c r="Z148" s="75"/>
      <c r="AA148" s="24"/>
      <c r="AB148" s="24"/>
      <c r="AC148" s="24"/>
      <c r="AD148" s="24"/>
      <c r="AE148" s="24"/>
      <c r="AF148" s="24"/>
      <c r="AG148" s="75"/>
      <c r="AI148" s="25">
        <f t="shared" si="242"/>
        <v>1</v>
      </c>
      <c r="AJ148" s="75">
        <f t="shared" si="207"/>
        <v>244800000</v>
      </c>
      <c r="AK148" s="75"/>
      <c r="AL148" s="75"/>
      <c r="AM148" s="75"/>
      <c r="AN148" s="75">
        <f>+'[3]ABRIL 2015'!$G$182</f>
        <v>244800000</v>
      </c>
      <c r="AO148" s="75"/>
      <c r="AP148" s="75"/>
      <c r="AQ148" s="75"/>
      <c r="AR148" s="75"/>
      <c r="AS148" s="75"/>
      <c r="AT148" s="75"/>
      <c r="AU148" s="75"/>
      <c r="AV148" s="75"/>
      <c r="AW148" s="75"/>
      <c r="AX148" s="75"/>
      <c r="AY148" s="75"/>
      <c r="AZ148" s="75"/>
      <c r="BA148" s="75"/>
      <c r="BB148" s="75"/>
      <c r="BC148" s="75"/>
      <c r="BD148" s="75"/>
      <c r="BE148" s="25">
        <f t="shared" si="243"/>
        <v>0</v>
      </c>
      <c r="BF148" s="75">
        <f t="shared" si="208"/>
        <v>0</v>
      </c>
      <c r="BG148" s="75">
        <f t="shared" si="248"/>
        <v>0</v>
      </c>
      <c r="BH148" s="75">
        <f t="shared" si="249"/>
        <v>0</v>
      </c>
      <c r="BI148" s="75"/>
      <c r="BJ148" s="75">
        <f t="shared" si="246"/>
        <v>0</v>
      </c>
      <c r="BK148" s="75">
        <f t="shared" si="250"/>
        <v>0</v>
      </c>
      <c r="BL148" s="75">
        <f t="shared" si="251"/>
        <v>0</v>
      </c>
      <c r="BM148" s="75">
        <f t="shared" si="252"/>
        <v>0</v>
      </c>
      <c r="BN148" s="75"/>
      <c r="BO148" s="75">
        <f t="shared" si="253"/>
        <v>0</v>
      </c>
      <c r="BP148" s="75">
        <f t="shared" si="254"/>
        <v>0</v>
      </c>
      <c r="BQ148" s="75">
        <f t="shared" si="255"/>
        <v>0</v>
      </c>
      <c r="BR148" s="75">
        <f t="shared" si="256"/>
        <v>0</v>
      </c>
      <c r="BS148" s="75">
        <f t="shared" si="257"/>
        <v>0</v>
      </c>
      <c r="BT148" s="75">
        <f t="shared" si="258"/>
        <v>0</v>
      </c>
      <c r="BU148" s="75">
        <f t="shared" si="259"/>
        <v>0</v>
      </c>
      <c r="BV148" s="75">
        <f t="shared" si="260"/>
        <v>0</v>
      </c>
      <c r="BW148" s="75">
        <f t="shared" si="261"/>
        <v>0</v>
      </c>
      <c r="BX148" s="75"/>
      <c r="BY148" s="75">
        <f t="shared" si="262"/>
        <v>0</v>
      </c>
      <c r="BZ148" s="75">
        <f t="shared" si="263"/>
        <v>0</v>
      </c>
      <c r="CA148" s="25">
        <f t="shared" si="244"/>
        <v>1</v>
      </c>
      <c r="CB148" s="75">
        <f t="shared" si="225"/>
        <v>244800000</v>
      </c>
      <c r="CC148" s="75"/>
      <c r="CD148" s="75"/>
      <c r="CE148" s="75"/>
      <c r="CF148" s="75">
        <v>244800000</v>
      </c>
      <c r="CG148" s="75"/>
      <c r="CH148" s="75"/>
      <c r="CI148" s="75"/>
      <c r="CJ148" s="75"/>
      <c r="CK148" s="75"/>
      <c r="CL148" s="75"/>
      <c r="CM148" s="75"/>
      <c r="CN148" s="75"/>
      <c r="CO148" s="75"/>
      <c r="CP148" s="75"/>
      <c r="CQ148" s="75"/>
      <c r="CR148" s="75"/>
      <c r="CS148" s="75"/>
      <c r="CT148" s="75"/>
      <c r="CU148" s="75"/>
      <c r="CV148" s="75"/>
      <c r="CW148" s="25">
        <f t="shared" si="245"/>
        <v>0</v>
      </c>
      <c r="CX148" s="75">
        <f t="shared" si="226"/>
        <v>0</v>
      </c>
      <c r="CY148" s="75"/>
      <c r="CZ148" s="75"/>
      <c r="DA148" s="75"/>
      <c r="DB148" s="75">
        <f t="shared" si="247"/>
        <v>0</v>
      </c>
      <c r="DC148" s="75">
        <f t="shared" si="264"/>
        <v>0</v>
      </c>
      <c r="DD148" s="75">
        <f t="shared" si="265"/>
        <v>0</v>
      </c>
      <c r="DE148" s="75">
        <f t="shared" si="266"/>
        <v>0</v>
      </c>
      <c r="DF148" s="75"/>
      <c r="DG148" s="75">
        <f t="shared" si="267"/>
        <v>0</v>
      </c>
      <c r="DH148" s="75">
        <f t="shared" si="268"/>
        <v>0</v>
      </c>
      <c r="DI148" s="75"/>
      <c r="DJ148" s="75">
        <f t="shared" si="269"/>
        <v>0</v>
      </c>
      <c r="DK148" s="75">
        <f t="shared" si="270"/>
        <v>0</v>
      </c>
      <c r="DL148" s="75">
        <f t="shared" si="271"/>
        <v>0</v>
      </c>
      <c r="DM148" s="75">
        <f t="shared" si="272"/>
        <v>0</v>
      </c>
      <c r="DN148" s="75">
        <f t="shared" si="273"/>
        <v>0</v>
      </c>
      <c r="DO148" s="75">
        <f t="shared" si="274"/>
        <v>0</v>
      </c>
      <c r="DP148" s="75">
        <f t="shared" si="275"/>
        <v>0</v>
      </c>
      <c r="DQ148" s="75">
        <f t="shared" si="277"/>
        <v>0</v>
      </c>
      <c r="DR148" s="75">
        <f t="shared" si="276"/>
        <v>0</v>
      </c>
    </row>
    <row r="149" spans="1:122" ht="22.5" hidden="1" customHeight="1" x14ac:dyDescent="0.3">
      <c r="A149" s="246"/>
      <c r="B149" s="271"/>
      <c r="C149" s="272" t="s">
        <v>104</v>
      </c>
      <c r="D149" s="272" t="s">
        <v>103</v>
      </c>
      <c r="E149" s="273">
        <v>211</v>
      </c>
      <c r="F149" s="181" t="s">
        <v>12</v>
      </c>
      <c r="G149" s="228"/>
      <c r="H149" s="79">
        <f t="shared" si="204"/>
        <v>96000000</v>
      </c>
      <c r="I149" s="79">
        <f t="shared" si="205"/>
        <v>250985280</v>
      </c>
      <c r="J149" s="78"/>
      <c r="K149" s="78"/>
      <c r="L149" s="78"/>
      <c r="M149" s="75">
        <f t="shared" si="206"/>
        <v>346985280</v>
      </c>
      <c r="N149" s="45"/>
      <c r="O149" s="45"/>
      <c r="P149" s="45"/>
      <c r="Q149" s="75">
        <f>178840000+200000000-72884540+72884540-31854720</f>
        <v>346985280</v>
      </c>
      <c r="R149" s="75">
        <f>72884540-72884540</f>
        <v>0</v>
      </c>
      <c r="S149" s="45"/>
      <c r="T149" s="75"/>
      <c r="U149" s="75"/>
      <c r="V149" s="75"/>
      <c r="W149" s="75"/>
      <c r="X149" s="75"/>
      <c r="Y149" s="75"/>
      <c r="Z149" s="75"/>
      <c r="AA149" s="24"/>
      <c r="AB149" s="24"/>
      <c r="AC149" s="24"/>
      <c r="AD149" s="24"/>
      <c r="AE149" s="24"/>
      <c r="AF149" s="24"/>
      <c r="AG149" s="75"/>
      <c r="AI149" s="25">
        <f t="shared" si="242"/>
        <v>0.27666879701640368</v>
      </c>
      <c r="AJ149" s="75">
        <f t="shared" si="207"/>
        <v>96000000</v>
      </c>
      <c r="AK149" s="75"/>
      <c r="AL149" s="75"/>
      <c r="AM149" s="75"/>
      <c r="AN149" s="75">
        <f>+'[1]AGOSTO 2015'!$M$233</f>
        <v>96000000</v>
      </c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  <c r="AY149" s="75"/>
      <c r="AZ149" s="75"/>
      <c r="BA149" s="75"/>
      <c r="BB149" s="75"/>
      <c r="BC149" s="75"/>
      <c r="BD149" s="75"/>
      <c r="BE149" s="25">
        <f t="shared" si="243"/>
        <v>0.72333120298359632</v>
      </c>
      <c r="BF149" s="75">
        <f t="shared" si="208"/>
        <v>250985280</v>
      </c>
      <c r="BG149" s="75">
        <f t="shared" si="248"/>
        <v>0</v>
      </c>
      <c r="BH149" s="75">
        <f t="shared" si="249"/>
        <v>0</v>
      </c>
      <c r="BI149" s="75"/>
      <c r="BJ149" s="75">
        <f t="shared" si="246"/>
        <v>250985280</v>
      </c>
      <c r="BK149" s="75">
        <f t="shared" si="250"/>
        <v>0</v>
      </c>
      <c r="BL149" s="75">
        <f t="shared" si="251"/>
        <v>0</v>
      </c>
      <c r="BM149" s="75">
        <f t="shared" si="252"/>
        <v>0</v>
      </c>
      <c r="BN149" s="75"/>
      <c r="BO149" s="75">
        <f t="shared" si="253"/>
        <v>0</v>
      </c>
      <c r="BP149" s="75">
        <f t="shared" si="254"/>
        <v>0</v>
      </c>
      <c r="BQ149" s="75">
        <f t="shared" si="255"/>
        <v>0</v>
      </c>
      <c r="BR149" s="75">
        <f t="shared" si="256"/>
        <v>0</v>
      </c>
      <c r="BS149" s="75">
        <f t="shared" si="257"/>
        <v>0</v>
      </c>
      <c r="BT149" s="75">
        <f t="shared" si="258"/>
        <v>0</v>
      </c>
      <c r="BU149" s="75">
        <f t="shared" si="259"/>
        <v>0</v>
      </c>
      <c r="BV149" s="75">
        <f t="shared" si="260"/>
        <v>0</v>
      </c>
      <c r="BW149" s="75">
        <f t="shared" si="261"/>
        <v>0</v>
      </c>
      <c r="BX149" s="75"/>
      <c r="BY149" s="75">
        <f t="shared" si="262"/>
        <v>0</v>
      </c>
      <c r="BZ149" s="75">
        <f t="shared" si="263"/>
        <v>0</v>
      </c>
      <c r="CA149" s="25">
        <f t="shared" si="244"/>
        <v>0.27666879701640368</v>
      </c>
      <c r="CB149" s="75">
        <f t="shared" si="225"/>
        <v>96000000</v>
      </c>
      <c r="CC149" s="75"/>
      <c r="CD149" s="75"/>
      <c r="CE149" s="75"/>
      <c r="CF149" s="75">
        <f>+'[1]AGOSTO 2015'!$H$231</f>
        <v>96000000</v>
      </c>
      <c r="CG149" s="75"/>
      <c r="CH149" s="75"/>
      <c r="CI149" s="75"/>
      <c r="CJ149" s="75"/>
      <c r="CK149" s="75"/>
      <c r="CL149" s="75"/>
      <c r="CM149" s="75"/>
      <c r="CN149" s="75"/>
      <c r="CO149" s="75"/>
      <c r="CP149" s="75"/>
      <c r="CQ149" s="75"/>
      <c r="CR149" s="75"/>
      <c r="CS149" s="75"/>
      <c r="CT149" s="75"/>
      <c r="CU149" s="75"/>
      <c r="CV149" s="75"/>
      <c r="CW149" s="25">
        <f t="shared" si="245"/>
        <v>0.72333120298359632</v>
      </c>
      <c r="CX149" s="75">
        <f t="shared" si="226"/>
        <v>250985280</v>
      </c>
      <c r="CY149" s="75"/>
      <c r="CZ149" s="75"/>
      <c r="DA149" s="75"/>
      <c r="DB149" s="75">
        <f t="shared" si="247"/>
        <v>250985280</v>
      </c>
      <c r="DC149" s="75">
        <f t="shared" si="264"/>
        <v>0</v>
      </c>
      <c r="DD149" s="75">
        <f t="shared" si="265"/>
        <v>0</v>
      </c>
      <c r="DE149" s="75">
        <f t="shared" si="266"/>
        <v>0</v>
      </c>
      <c r="DF149" s="75"/>
      <c r="DG149" s="75">
        <f t="shared" si="267"/>
        <v>0</v>
      </c>
      <c r="DH149" s="75">
        <f t="shared" si="268"/>
        <v>0</v>
      </c>
      <c r="DI149" s="75"/>
      <c r="DJ149" s="75">
        <f t="shared" si="269"/>
        <v>0</v>
      </c>
      <c r="DK149" s="75">
        <f t="shared" si="270"/>
        <v>0</v>
      </c>
      <c r="DL149" s="75">
        <f t="shared" si="271"/>
        <v>0</v>
      </c>
      <c r="DM149" s="75">
        <f t="shared" si="272"/>
        <v>0</v>
      </c>
      <c r="DN149" s="75">
        <f t="shared" si="273"/>
        <v>0</v>
      </c>
      <c r="DO149" s="75">
        <f t="shared" si="274"/>
        <v>0</v>
      </c>
      <c r="DP149" s="75">
        <f t="shared" si="275"/>
        <v>0</v>
      </c>
      <c r="DQ149" s="75">
        <f t="shared" si="277"/>
        <v>0</v>
      </c>
      <c r="DR149" s="75">
        <f t="shared" si="276"/>
        <v>0</v>
      </c>
    </row>
    <row r="150" spans="1:122" ht="45.75" hidden="1" customHeight="1" x14ac:dyDescent="0.3">
      <c r="A150" s="246"/>
      <c r="B150" s="271"/>
      <c r="C150" s="272" t="s">
        <v>102</v>
      </c>
      <c r="D150" s="272" t="s">
        <v>101</v>
      </c>
      <c r="E150" s="273">
        <v>211</v>
      </c>
      <c r="F150" s="181" t="s">
        <v>12</v>
      </c>
      <c r="G150" s="228"/>
      <c r="H150" s="79">
        <f t="shared" si="204"/>
        <v>186695</v>
      </c>
      <c r="I150" s="79">
        <f t="shared" si="205"/>
        <v>39813305</v>
      </c>
      <c r="J150" s="87"/>
      <c r="K150" s="87"/>
      <c r="L150" s="87"/>
      <c r="M150" s="75">
        <f t="shared" si="206"/>
        <v>40000000</v>
      </c>
      <c r="N150" s="45"/>
      <c r="O150" s="45"/>
      <c r="P150" s="45"/>
      <c r="Q150" s="75">
        <f>90000000+500000000-250000000-300000000</f>
        <v>40000000</v>
      </c>
      <c r="R150" s="45"/>
      <c r="S150" s="45"/>
      <c r="T150" s="75"/>
      <c r="U150" s="75"/>
      <c r="V150" s="75"/>
      <c r="W150" s="75"/>
      <c r="X150" s="75"/>
      <c r="Y150" s="75"/>
      <c r="Z150" s="75"/>
      <c r="AA150" s="24"/>
      <c r="AB150" s="24"/>
      <c r="AC150" s="24"/>
      <c r="AD150" s="24"/>
      <c r="AE150" s="24"/>
      <c r="AF150" s="24"/>
      <c r="AG150" s="75"/>
      <c r="AI150" s="25">
        <f t="shared" si="242"/>
        <v>2.325E-2</v>
      </c>
      <c r="AJ150" s="75">
        <f t="shared" si="207"/>
        <v>930000</v>
      </c>
      <c r="AK150" s="75"/>
      <c r="AL150" s="75"/>
      <c r="AM150" s="75"/>
      <c r="AN150" s="75">
        <f>+'[6]JUNIO 2015'!$M$212</f>
        <v>930000</v>
      </c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  <c r="AY150" s="75"/>
      <c r="AZ150" s="75"/>
      <c r="BA150" s="75"/>
      <c r="BB150" s="75"/>
      <c r="BC150" s="75"/>
      <c r="BD150" s="75"/>
      <c r="BE150" s="25">
        <f t="shared" si="243"/>
        <v>0.97675000000000001</v>
      </c>
      <c r="BF150" s="75">
        <f t="shared" si="208"/>
        <v>39070000</v>
      </c>
      <c r="BG150" s="75">
        <f t="shared" si="248"/>
        <v>0</v>
      </c>
      <c r="BH150" s="75">
        <f t="shared" si="249"/>
        <v>0</v>
      </c>
      <c r="BI150" s="75"/>
      <c r="BJ150" s="75">
        <f t="shared" si="246"/>
        <v>39070000</v>
      </c>
      <c r="BK150" s="75">
        <f t="shared" si="250"/>
        <v>0</v>
      </c>
      <c r="BL150" s="75">
        <f t="shared" si="251"/>
        <v>0</v>
      </c>
      <c r="BM150" s="75">
        <f t="shared" si="252"/>
        <v>0</v>
      </c>
      <c r="BN150" s="75"/>
      <c r="BO150" s="75">
        <f t="shared" si="253"/>
        <v>0</v>
      </c>
      <c r="BP150" s="75">
        <f t="shared" si="254"/>
        <v>0</v>
      </c>
      <c r="BQ150" s="75">
        <f t="shared" si="255"/>
        <v>0</v>
      </c>
      <c r="BR150" s="75">
        <f t="shared" si="256"/>
        <v>0</v>
      </c>
      <c r="BS150" s="75">
        <f t="shared" si="257"/>
        <v>0</v>
      </c>
      <c r="BT150" s="75">
        <f t="shared" si="258"/>
        <v>0</v>
      </c>
      <c r="BU150" s="75">
        <f t="shared" si="259"/>
        <v>0</v>
      </c>
      <c r="BV150" s="75">
        <f t="shared" si="260"/>
        <v>0</v>
      </c>
      <c r="BW150" s="75">
        <f t="shared" si="261"/>
        <v>0</v>
      </c>
      <c r="BX150" s="75"/>
      <c r="BY150" s="75">
        <f t="shared" si="262"/>
        <v>0</v>
      </c>
      <c r="BZ150" s="75">
        <f t="shared" si="263"/>
        <v>0</v>
      </c>
      <c r="CA150" s="25">
        <f t="shared" si="244"/>
        <v>4.6673749999999996E-3</v>
      </c>
      <c r="CB150" s="75">
        <f t="shared" si="225"/>
        <v>186695</v>
      </c>
      <c r="CC150" s="75"/>
      <c r="CD150" s="75"/>
      <c r="CE150" s="75"/>
      <c r="CF150" s="75">
        <f>+'[6]JUNIO 2015'!$H$210</f>
        <v>186695</v>
      </c>
      <c r="CG150" s="75"/>
      <c r="CH150" s="75"/>
      <c r="CI150" s="75"/>
      <c r="CJ150" s="75"/>
      <c r="CK150" s="75"/>
      <c r="CL150" s="75"/>
      <c r="CM150" s="75"/>
      <c r="CN150" s="75"/>
      <c r="CO150" s="75"/>
      <c r="CP150" s="75"/>
      <c r="CQ150" s="75"/>
      <c r="CR150" s="75"/>
      <c r="CS150" s="75"/>
      <c r="CT150" s="75"/>
      <c r="CU150" s="75"/>
      <c r="CV150" s="75"/>
      <c r="CW150" s="25">
        <f t="shared" si="245"/>
        <v>0.99533262499999997</v>
      </c>
      <c r="CX150" s="75">
        <f t="shared" si="226"/>
        <v>39813305</v>
      </c>
      <c r="CY150" s="75"/>
      <c r="CZ150" s="75"/>
      <c r="DA150" s="75"/>
      <c r="DB150" s="75">
        <f t="shared" si="247"/>
        <v>39813305</v>
      </c>
      <c r="DC150" s="75">
        <f t="shared" si="264"/>
        <v>0</v>
      </c>
      <c r="DD150" s="75">
        <f t="shared" si="265"/>
        <v>0</v>
      </c>
      <c r="DE150" s="75">
        <f t="shared" si="266"/>
        <v>0</v>
      </c>
      <c r="DF150" s="75"/>
      <c r="DG150" s="75">
        <f t="shared" si="267"/>
        <v>0</v>
      </c>
      <c r="DH150" s="75">
        <f t="shared" si="268"/>
        <v>0</v>
      </c>
      <c r="DI150" s="75"/>
      <c r="DJ150" s="75">
        <f t="shared" si="269"/>
        <v>0</v>
      </c>
      <c r="DK150" s="75">
        <f t="shared" si="270"/>
        <v>0</v>
      </c>
      <c r="DL150" s="75">
        <f t="shared" si="271"/>
        <v>0</v>
      </c>
      <c r="DM150" s="75">
        <f t="shared" si="272"/>
        <v>0</v>
      </c>
      <c r="DN150" s="75">
        <f t="shared" si="273"/>
        <v>0</v>
      </c>
      <c r="DO150" s="75">
        <f t="shared" si="274"/>
        <v>0</v>
      </c>
      <c r="DP150" s="75">
        <f t="shared" si="275"/>
        <v>0</v>
      </c>
      <c r="DQ150" s="75">
        <f t="shared" si="277"/>
        <v>0</v>
      </c>
      <c r="DR150" s="75">
        <f t="shared" si="276"/>
        <v>0</v>
      </c>
    </row>
    <row r="151" spans="1:122" ht="35.25" hidden="1" customHeight="1" x14ac:dyDescent="0.3">
      <c r="A151" s="246"/>
      <c r="B151" s="271"/>
      <c r="C151" s="272" t="s">
        <v>100</v>
      </c>
      <c r="D151" s="272" t="s">
        <v>99</v>
      </c>
      <c r="E151" s="273">
        <v>211</v>
      </c>
      <c r="F151" s="181" t="s">
        <v>12</v>
      </c>
      <c r="G151" s="228"/>
      <c r="H151" s="79">
        <f t="shared" si="204"/>
        <v>0</v>
      </c>
      <c r="I151" s="79">
        <f t="shared" si="205"/>
        <v>300000000</v>
      </c>
      <c r="J151" s="78"/>
      <c r="K151" s="78"/>
      <c r="L151" s="78"/>
      <c r="M151" s="75">
        <f t="shared" si="206"/>
        <v>300000000</v>
      </c>
      <c r="N151" s="45"/>
      <c r="O151" s="45"/>
      <c r="P151" s="45"/>
      <c r="Q151" s="75">
        <f>300000000-300000000+300000000</f>
        <v>300000000</v>
      </c>
      <c r="R151" s="45"/>
      <c r="S151" s="45"/>
      <c r="T151" s="75"/>
      <c r="U151" s="75"/>
      <c r="V151" s="75"/>
      <c r="W151" s="75"/>
      <c r="X151" s="75"/>
      <c r="Y151" s="75"/>
      <c r="Z151" s="75"/>
      <c r="AA151" s="24"/>
      <c r="AB151" s="24"/>
      <c r="AC151" s="24"/>
      <c r="AD151" s="24"/>
      <c r="AE151" s="24"/>
      <c r="AF151" s="24"/>
      <c r="AG151" s="75"/>
      <c r="AI151" s="25">
        <f t="shared" si="242"/>
        <v>1</v>
      </c>
      <c r="AJ151" s="75">
        <f t="shared" si="207"/>
        <v>300000000</v>
      </c>
      <c r="AK151" s="75"/>
      <c r="AL151" s="75"/>
      <c r="AM151" s="75"/>
      <c r="AN151" s="75">
        <f>+'[2]JULIO 2015'!$M$236</f>
        <v>300000000</v>
      </c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  <c r="AY151" s="75"/>
      <c r="AZ151" s="75"/>
      <c r="BA151" s="75"/>
      <c r="BB151" s="75"/>
      <c r="BC151" s="75"/>
      <c r="BD151" s="75"/>
      <c r="BE151" s="25">
        <f t="shared" si="243"/>
        <v>0</v>
      </c>
      <c r="BF151" s="75">
        <f t="shared" si="208"/>
        <v>0</v>
      </c>
      <c r="BG151" s="75">
        <f t="shared" si="248"/>
        <v>0</v>
      </c>
      <c r="BH151" s="75">
        <f t="shared" si="249"/>
        <v>0</v>
      </c>
      <c r="BI151" s="75"/>
      <c r="BJ151" s="75">
        <f t="shared" si="246"/>
        <v>0</v>
      </c>
      <c r="BK151" s="75">
        <f t="shared" si="250"/>
        <v>0</v>
      </c>
      <c r="BL151" s="75">
        <f t="shared" si="251"/>
        <v>0</v>
      </c>
      <c r="BM151" s="75">
        <f t="shared" si="252"/>
        <v>0</v>
      </c>
      <c r="BN151" s="75"/>
      <c r="BO151" s="75">
        <f t="shared" si="253"/>
        <v>0</v>
      </c>
      <c r="BP151" s="75">
        <f t="shared" si="254"/>
        <v>0</v>
      </c>
      <c r="BQ151" s="75">
        <f t="shared" si="255"/>
        <v>0</v>
      </c>
      <c r="BR151" s="75">
        <f t="shared" si="256"/>
        <v>0</v>
      </c>
      <c r="BS151" s="75">
        <f t="shared" si="257"/>
        <v>0</v>
      </c>
      <c r="BT151" s="75">
        <f t="shared" si="258"/>
        <v>0</v>
      </c>
      <c r="BU151" s="75">
        <f t="shared" si="259"/>
        <v>0</v>
      </c>
      <c r="BV151" s="75">
        <f t="shared" si="260"/>
        <v>0</v>
      </c>
      <c r="BW151" s="75">
        <f t="shared" si="261"/>
        <v>0</v>
      </c>
      <c r="BX151" s="75"/>
      <c r="BY151" s="75">
        <f t="shared" si="262"/>
        <v>0</v>
      </c>
      <c r="BZ151" s="75">
        <f t="shared" si="263"/>
        <v>0</v>
      </c>
      <c r="CA151" s="25">
        <f t="shared" si="244"/>
        <v>0</v>
      </c>
      <c r="CB151" s="75">
        <f t="shared" si="225"/>
        <v>0</v>
      </c>
      <c r="CC151" s="75"/>
      <c r="CD151" s="75"/>
      <c r="CE151" s="75"/>
      <c r="CF151" s="75"/>
      <c r="CG151" s="75"/>
      <c r="CH151" s="75"/>
      <c r="CI151" s="75"/>
      <c r="CJ151" s="75"/>
      <c r="CK151" s="75"/>
      <c r="CL151" s="75"/>
      <c r="CM151" s="75"/>
      <c r="CN151" s="75"/>
      <c r="CO151" s="75"/>
      <c r="CP151" s="75"/>
      <c r="CQ151" s="75"/>
      <c r="CR151" s="75"/>
      <c r="CS151" s="75"/>
      <c r="CT151" s="75"/>
      <c r="CU151" s="75"/>
      <c r="CV151" s="75"/>
      <c r="CW151" s="25">
        <f t="shared" si="245"/>
        <v>1</v>
      </c>
      <c r="CX151" s="75">
        <f t="shared" si="226"/>
        <v>300000000</v>
      </c>
      <c r="CY151" s="75"/>
      <c r="CZ151" s="75"/>
      <c r="DA151" s="75"/>
      <c r="DB151" s="75">
        <f t="shared" si="247"/>
        <v>300000000</v>
      </c>
      <c r="DC151" s="75">
        <f t="shared" si="264"/>
        <v>0</v>
      </c>
      <c r="DD151" s="75">
        <f t="shared" si="265"/>
        <v>0</v>
      </c>
      <c r="DE151" s="75">
        <f t="shared" si="266"/>
        <v>0</v>
      </c>
      <c r="DF151" s="75"/>
      <c r="DG151" s="75">
        <f t="shared" si="267"/>
        <v>0</v>
      </c>
      <c r="DH151" s="75">
        <f t="shared" si="268"/>
        <v>0</v>
      </c>
      <c r="DI151" s="75"/>
      <c r="DJ151" s="75">
        <f t="shared" si="269"/>
        <v>0</v>
      </c>
      <c r="DK151" s="75">
        <f t="shared" si="270"/>
        <v>0</v>
      </c>
      <c r="DL151" s="75">
        <f t="shared" si="271"/>
        <v>0</v>
      </c>
      <c r="DM151" s="75">
        <f t="shared" si="272"/>
        <v>0</v>
      </c>
      <c r="DN151" s="75">
        <f t="shared" si="273"/>
        <v>0</v>
      </c>
      <c r="DO151" s="75">
        <f t="shared" si="274"/>
        <v>0</v>
      </c>
      <c r="DP151" s="75">
        <f t="shared" si="275"/>
        <v>0</v>
      </c>
      <c r="DQ151" s="75">
        <f t="shared" si="277"/>
        <v>0</v>
      </c>
      <c r="DR151" s="75">
        <f t="shared" si="276"/>
        <v>0</v>
      </c>
    </row>
    <row r="152" spans="1:122" ht="32.25" hidden="1" customHeight="1" x14ac:dyDescent="0.3">
      <c r="A152" s="246"/>
      <c r="B152" s="271"/>
      <c r="C152" s="272" t="s">
        <v>98</v>
      </c>
      <c r="D152" s="272" t="s">
        <v>97</v>
      </c>
      <c r="E152" s="273">
        <v>211</v>
      </c>
      <c r="F152" s="181" t="s">
        <v>96</v>
      </c>
      <c r="G152" s="228"/>
      <c r="H152" s="79">
        <f t="shared" si="204"/>
        <v>0</v>
      </c>
      <c r="I152" s="79">
        <f t="shared" si="205"/>
        <v>4200000</v>
      </c>
      <c r="J152" s="78"/>
      <c r="K152" s="78"/>
      <c r="L152" s="78"/>
      <c r="M152" s="75">
        <f t="shared" si="206"/>
        <v>4200000</v>
      </c>
      <c r="N152" s="45"/>
      <c r="O152" s="45"/>
      <c r="P152" s="45"/>
      <c r="Q152" s="75"/>
      <c r="R152" s="45"/>
      <c r="S152" s="45"/>
      <c r="T152" s="75"/>
      <c r="U152" s="75"/>
      <c r="V152" s="75"/>
      <c r="W152" s="75"/>
      <c r="X152" s="75"/>
      <c r="Y152" s="75"/>
      <c r="Z152" s="75"/>
      <c r="AA152" s="24"/>
      <c r="AB152" s="24"/>
      <c r="AC152" s="24"/>
      <c r="AD152" s="24"/>
      <c r="AE152" s="24"/>
      <c r="AF152" s="24"/>
      <c r="AG152" s="75">
        <f>4200000</f>
        <v>4200000</v>
      </c>
      <c r="AI152" s="25">
        <f t="shared" si="242"/>
        <v>1</v>
      </c>
      <c r="AJ152" s="75">
        <f t="shared" si="207"/>
        <v>4200000</v>
      </c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  <c r="AY152" s="75"/>
      <c r="AZ152" s="75"/>
      <c r="BA152" s="75"/>
      <c r="BB152" s="75"/>
      <c r="BC152" s="75"/>
      <c r="BD152" s="75">
        <f>+'[9]ENERO 2015'!$AA$166</f>
        <v>4200000</v>
      </c>
      <c r="BE152" s="25">
        <f t="shared" si="243"/>
        <v>0</v>
      </c>
      <c r="BF152" s="75">
        <f t="shared" si="208"/>
        <v>0</v>
      </c>
      <c r="BG152" s="75">
        <f t="shared" si="248"/>
        <v>0</v>
      </c>
      <c r="BH152" s="75">
        <f t="shared" si="249"/>
        <v>0</v>
      </c>
      <c r="BI152" s="75"/>
      <c r="BJ152" s="75">
        <f t="shared" si="246"/>
        <v>0</v>
      </c>
      <c r="BK152" s="75">
        <f t="shared" si="250"/>
        <v>0</v>
      </c>
      <c r="BL152" s="75">
        <f t="shared" si="251"/>
        <v>0</v>
      </c>
      <c r="BM152" s="75">
        <f t="shared" si="252"/>
        <v>0</v>
      </c>
      <c r="BN152" s="75"/>
      <c r="BO152" s="75">
        <f t="shared" si="253"/>
        <v>0</v>
      </c>
      <c r="BP152" s="75">
        <f t="shared" si="254"/>
        <v>0</v>
      </c>
      <c r="BQ152" s="75">
        <f t="shared" si="255"/>
        <v>0</v>
      </c>
      <c r="BR152" s="75">
        <f t="shared" si="256"/>
        <v>0</v>
      </c>
      <c r="BS152" s="75">
        <f t="shared" si="257"/>
        <v>0</v>
      </c>
      <c r="BT152" s="75">
        <f t="shared" si="258"/>
        <v>0</v>
      </c>
      <c r="BU152" s="75">
        <f t="shared" si="259"/>
        <v>0</v>
      </c>
      <c r="BV152" s="75">
        <f t="shared" si="260"/>
        <v>0</v>
      </c>
      <c r="BW152" s="75">
        <f t="shared" si="261"/>
        <v>0</v>
      </c>
      <c r="BX152" s="75"/>
      <c r="BY152" s="75">
        <f t="shared" si="262"/>
        <v>0</v>
      </c>
      <c r="BZ152" s="75">
        <f t="shared" si="263"/>
        <v>0</v>
      </c>
      <c r="CA152" s="25">
        <f t="shared" si="244"/>
        <v>0</v>
      </c>
      <c r="CB152" s="75">
        <f t="shared" si="225"/>
        <v>0</v>
      </c>
      <c r="CC152" s="75"/>
      <c r="CD152" s="75"/>
      <c r="CE152" s="75"/>
      <c r="CF152" s="75"/>
      <c r="CG152" s="75"/>
      <c r="CH152" s="75"/>
      <c r="CI152" s="75"/>
      <c r="CJ152" s="75"/>
      <c r="CK152" s="75"/>
      <c r="CL152" s="75"/>
      <c r="CM152" s="75"/>
      <c r="CN152" s="75"/>
      <c r="CO152" s="75"/>
      <c r="CP152" s="75"/>
      <c r="CQ152" s="75"/>
      <c r="CR152" s="75"/>
      <c r="CS152" s="75"/>
      <c r="CT152" s="75"/>
      <c r="CU152" s="75"/>
      <c r="CV152" s="75"/>
      <c r="CW152" s="25">
        <f t="shared" si="245"/>
        <v>1</v>
      </c>
      <c r="CX152" s="75">
        <f t="shared" si="226"/>
        <v>4200000</v>
      </c>
      <c r="CY152" s="75"/>
      <c r="CZ152" s="75"/>
      <c r="DA152" s="75"/>
      <c r="DB152" s="75">
        <f t="shared" si="247"/>
        <v>0</v>
      </c>
      <c r="DC152" s="75">
        <f t="shared" si="264"/>
        <v>0</v>
      </c>
      <c r="DD152" s="75">
        <f t="shared" si="265"/>
        <v>0</v>
      </c>
      <c r="DE152" s="75">
        <f t="shared" si="266"/>
        <v>0</v>
      </c>
      <c r="DF152" s="75"/>
      <c r="DG152" s="75">
        <f t="shared" si="267"/>
        <v>0</v>
      </c>
      <c r="DH152" s="75">
        <f t="shared" si="268"/>
        <v>0</v>
      </c>
      <c r="DI152" s="75"/>
      <c r="DJ152" s="75">
        <f t="shared" si="269"/>
        <v>0</v>
      </c>
      <c r="DK152" s="75">
        <f t="shared" si="270"/>
        <v>0</v>
      </c>
      <c r="DL152" s="75">
        <f t="shared" si="271"/>
        <v>0</v>
      </c>
      <c r="DM152" s="75">
        <f t="shared" si="272"/>
        <v>0</v>
      </c>
      <c r="DN152" s="75">
        <f t="shared" si="273"/>
        <v>0</v>
      </c>
      <c r="DO152" s="75">
        <f t="shared" si="274"/>
        <v>0</v>
      </c>
      <c r="DP152" s="75">
        <f t="shared" si="275"/>
        <v>0</v>
      </c>
      <c r="DQ152" s="75">
        <f t="shared" si="277"/>
        <v>0</v>
      </c>
      <c r="DR152" s="75">
        <f t="shared" si="276"/>
        <v>4200000</v>
      </c>
    </row>
    <row r="153" spans="1:122" ht="21" hidden="1" customHeight="1" x14ac:dyDescent="0.3">
      <c r="A153" s="246"/>
      <c r="B153" s="271"/>
      <c r="C153" s="272" t="s">
        <v>95</v>
      </c>
      <c r="D153" s="272" t="s">
        <v>94</v>
      </c>
      <c r="E153" s="273">
        <v>211</v>
      </c>
      <c r="F153" s="181" t="s">
        <v>12</v>
      </c>
      <c r="G153" s="228"/>
      <c r="H153" s="79">
        <f t="shared" si="204"/>
        <v>0</v>
      </c>
      <c r="I153" s="79">
        <f t="shared" si="205"/>
        <v>30741545</v>
      </c>
      <c r="J153" s="78"/>
      <c r="K153" s="78"/>
      <c r="L153" s="78"/>
      <c r="M153" s="75">
        <f t="shared" si="206"/>
        <v>30741545</v>
      </c>
      <c r="N153" s="45"/>
      <c r="O153" s="45"/>
      <c r="P153" s="45"/>
      <c r="Q153" s="75">
        <f>124058456-124058456</f>
        <v>0</v>
      </c>
      <c r="R153" s="45"/>
      <c r="S153" s="45"/>
      <c r="T153" s="75"/>
      <c r="U153" s="75"/>
      <c r="V153" s="75"/>
      <c r="W153" s="75"/>
      <c r="X153" s="75"/>
      <c r="Y153" s="75">
        <v>30741545</v>
      </c>
      <c r="Z153" s="75"/>
      <c r="AA153" s="24"/>
      <c r="AB153" s="24"/>
      <c r="AC153" s="24"/>
      <c r="AD153" s="24"/>
      <c r="AE153" s="24"/>
      <c r="AF153" s="24"/>
      <c r="AG153" s="75"/>
      <c r="AI153" s="25">
        <f t="shared" si="242"/>
        <v>0</v>
      </c>
      <c r="AJ153" s="75">
        <f t="shared" si="207"/>
        <v>0</v>
      </c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  <c r="AY153" s="75"/>
      <c r="AZ153" s="75"/>
      <c r="BA153" s="75"/>
      <c r="BB153" s="75"/>
      <c r="BC153" s="75"/>
      <c r="BD153" s="75"/>
      <c r="BE153" s="25">
        <f t="shared" si="243"/>
        <v>1</v>
      </c>
      <c r="BF153" s="75">
        <f t="shared" si="208"/>
        <v>30741545</v>
      </c>
      <c r="BG153" s="75">
        <f t="shared" si="248"/>
        <v>0</v>
      </c>
      <c r="BH153" s="75">
        <f t="shared" si="249"/>
        <v>0</v>
      </c>
      <c r="BI153" s="75"/>
      <c r="BJ153" s="75">
        <f t="shared" si="246"/>
        <v>0</v>
      </c>
      <c r="BK153" s="75">
        <f t="shared" si="250"/>
        <v>0</v>
      </c>
      <c r="BL153" s="75">
        <f t="shared" si="251"/>
        <v>0</v>
      </c>
      <c r="BM153" s="75">
        <f t="shared" si="252"/>
        <v>0</v>
      </c>
      <c r="BN153" s="75"/>
      <c r="BO153" s="75">
        <f t="shared" si="253"/>
        <v>0</v>
      </c>
      <c r="BP153" s="75">
        <f t="shared" si="254"/>
        <v>0</v>
      </c>
      <c r="BQ153" s="75">
        <f t="shared" si="255"/>
        <v>0</v>
      </c>
      <c r="BR153" s="75">
        <f t="shared" si="256"/>
        <v>30741545</v>
      </c>
      <c r="BS153" s="75">
        <f t="shared" si="257"/>
        <v>0</v>
      </c>
      <c r="BT153" s="75">
        <f t="shared" si="258"/>
        <v>0</v>
      </c>
      <c r="BU153" s="75">
        <f t="shared" si="259"/>
        <v>0</v>
      </c>
      <c r="BV153" s="75">
        <f t="shared" si="260"/>
        <v>0</v>
      </c>
      <c r="BW153" s="75">
        <f t="shared" si="261"/>
        <v>0</v>
      </c>
      <c r="BX153" s="75"/>
      <c r="BY153" s="75">
        <f t="shared" si="262"/>
        <v>0</v>
      </c>
      <c r="BZ153" s="75">
        <f t="shared" si="263"/>
        <v>0</v>
      </c>
      <c r="CA153" s="25">
        <f t="shared" si="244"/>
        <v>0</v>
      </c>
      <c r="CB153" s="75">
        <f t="shared" si="225"/>
        <v>0</v>
      </c>
      <c r="CC153" s="75"/>
      <c r="CD153" s="75"/>
      <c r="CE153" s="75"/>
      <c r="CF153" s="75"/>
      <c r="CG153" s="75"/>
      <c r="CH153" s="75"/>
      <c r="CI153" s="75"/>
      <c r="CJ153" s="75"/>
      <c r="CK153" s="75"/>
      <c r="CL153" s="75"/>
      <c r="CM153" s="75"/>
      <c r="CN153" s="75"/>
      <c r="CO153" s="75"/>
      <c r="CP153" s="75"/>
      <c r="CQ153" s="75"/>
      <c r="CR153" s="75"/>
      <c r="CS153" s="75"/>
      <c r="CT153" s="75"/>
      <c r="CU153" s="75"/>
      <c r="CV153" s="75"/>
      <c r="CW153" s="25">
        <f t="shared" si="245"/>
        <v>1</v>
      </c>
      <c r="CX153" s="75">
        <f t="shared" si="226"/>
        <v>30741545</v>
      </c>
      <c r="CY153" s="75"/>
      <c r="CZ153" s="75"/>
      <c r="DA153" s="75"/>
      <c r="DB153" s="75">
        <f t="shared" si="247"/>
        <v>0</v>
      </c>
      <c r="DC153" s="75">
        <f t="shared" si="264"/>
        <v>0</v>
      </c>
      <c r="DD153" s="75">
        <f t="shared" si="265"/>
        <v>0</v>
      </c>
      <c r="DE153" s="75">
        <f t="shared" si="266"/>
        <v>0</v>
      </c>
      <c r="DF153" s="75"/>
      <c r="DG153" s="75">
        <f t="shared" si="267"/>
        <v>0</v>
      </c>
      <c r="DH153" s="75">
        <f t="shared" si="268"/>
        <v>0</v>
      </c>
      <c r="DI153" s="75"/>
      <c r="DJ153" s="75">
        <f t="shared" si="269"/>
        <v>30741545</v>
      </c>
      <c r="DK153" s="75">
        <f t="shared" si="270"/>
        <v>0</v>
      </c>
      <c r="DL153" s="75">
        <f t="shared" si="271"/>
        <v>0</v>
      </c>
      <c r="DM153" s="75">
        <f t="shared" si="272"/>
        <v>0</v>
      </c>
      <c r="DN153" s="75">
        <f t="shared" si="273"/>
        <v>0</v>
      </c>
      <c r="DO153" s="75">
        <f t="shared" si="274"/>
        <v>0</v>
      </c>
      <c r="DP153" s="75">
        <f t="shared" si="275"/>
        <v>0</v>
      </c>
      <c r="DQ153" s="75">
        <f t="shared" si="277"/>
        <v>0</v>
      </c>
      <c r="DR153" s="75">
        <f t="shared" si="276"/>
        <v>0</v>
      </c>
    </row>
    <row r="154" spans="1:122" ht="20.25" hidden="1" customHeight="1" x14ac:dyDescent="0.3">
      <c r="A154" s="246"/>
      <c r="B154" s="271"/>
      <c r="C154" s="272" t="s">
        <v>93</v>
      </c>
      <c r="D154" s="272" t="s">
        <v>92</v>
      </c>
      <c r="E154" s="273">
        <v>211</v>
      </c>
      <c r="F154" s="181" t="s">
        <v>12</v>
      </c>
      <c r="G154" s="228"/>
      <c r="H154" s="79">
        <f t="shared" ref="H154:H186" si="278">+CB154</f>
        <v>239816980</v>
      </c>
      <c r="I154" s="79">
        <f t="shared" ref="I154:I185" si="279">M154-H154</f>
        <v>0</v>
      </c>
      <c r="J154" s="78"/>
      <c r="K154" s="78"/>
      <c r="L154" s="78"/>
      <c r="M154" s="75">
        <f t="shared" ref="M154:M185" si="280">SUM(N154:AG154)</f>
        <v>239816980</v>
      </c>
      <c r="N154" s="45"/>
      <c r="O154" s="45"/>
      <c r="P154" s="45"/>
      <c r="Q154" s="75">
        <f>101542660+138457340-183020</f>
        <v>239816980</v>
      </c>
      <c r="R154" s="45"/>
      <c r="S154" s="45"/>
      <c r="T154" s="75">
        <f>169457340-169457340</f>
        <v>0</v>
      </c>
      <c r="U154" s="75"/>
      <c r="V154" s="75"/>
      <c r="W154" s="75"/>
      <c r="X154" s="75"/>
      <c r="Y154" s="75"/>
      <c r="Z154" s="75"/>
      <c r="AA154" s="24"/>
      <c r="AB154" s="24"/>
      <c r="AC154" s="24"/>
      <c r="AD154" s="24"/>
      <c r="AE154" s="24"/>
      <c r="AF154" s="24"/>
      <c r="AG154" s="75"/>
      <c r="AI154" s="25">
        <f t="shared" si="242"/>
        <v>1</v>
      </c>
      <c r="AJ154" s="75">
        <f t="shared" ref="AJ154:AJ185" si="281">SUM(AK154:BD154)</f>
        <v>239816980</v>
      </c>
      <c r="AK154" s="75"/>
      <c r="AL154" s="75"/>
      <c r="AM154" s="75"/>
      <c r="AN154" s="75">
        <f>+'[6]JUNIO 2015'!$M$235</f>
        <v>239816980</v>
      </c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  <c r="BA154" s="75"/>
      <c r="BB154" s="75"/>
      <c r="BC154" s="75"/>
      <c r="BD154" s="75"/>
      <c r="BE154" s="25">
        <f t="shared" si="243"/>
        <v>0</v>
      </c>
      <c r="BF154" s="75">
        <f t="shared" ref="BF154:BF185" si="282">SUM(BG154:BZ154)</f>
        <v>0</v>
      </c>
      <c r="BG154" s="75">
        <f t="shared" si="248"/>
        <v>0</v>
      </c>
      <c r="BH154" s="75">
        <f t="shared" si="249"/>
        <v>0</v>
      </c>
      <c r="BI154" s="75"/>
      <c r="BJ154" s="75">
        <f t="shared" si="246"/>
        <v>0</v>
      </c>
      <c r="BK154" s="75">
        <f t="shared" si="250"/>
        <v>0</v>
      </c>
      <c r="BL154" s="75">
        <f t="shared" si="251"/>
        <v>0</v>
      </c>
      <c r="BM154" s="75">
        <f t="shared" si="252"/>
        <v>0</v>
      </c>
      <c r="BN154" s="75"/>
      <c r="BO154" s="75">
        <f t="shared" si="253"/>
        <v>0</v>
      </c>
      <c r="BP154" s="75">
        <f t="shared" si="254"/>
        <v>0</v>
      </c>
      <c r="BQ154" s="75">
        <f t="shared" si="255"/>
        <v>0</v>
      </c>
      <c r="BR154" s="75">
        <f t="shared" si="256"/>
        <v>0</v>
      </c>
      <c r="BS154" s="75">
        <f t="shared" si="257"/>
        <v>0</v>
      </c>
      <c r="BT154" s="75">
        <f t="shared" si="258"/>
        <v>0</v>
      </c>
      <c r="BU154" s="75">
        <f t="shared" si="259"/>
        <v>0</v>
      </c>
      <c r="BV154" s="75">
        <f t="shared" si="260"/>
        <v>0</v>
      </c>
      <c r="BW154" s="75">
        <f t="shared" si="261"/>
        <v>0</v>
      </c>
      <c r="BX154" s="75"/>
      <c r="BY154" s="75">
        <f t="shared" si="262"/>
        <v>0</v>
      </c>
      <c r="BZ154" s="75">
        <f t="shared" si="263"/>
        <v>0</v>
      </c>
      <c r="CA154" s="25">
        <f t="shared" si="244"/>
        <v>1</v>
      </c>
      <c r="CB154" s="75">
        <f t="shared" ref="CB154:CB185" si="283">SUM(CC154:CV154)</f>
        <v>239816980</v>
      </c>
      <c r="CC154" s="75"/>
      <c r="CD154" s="75"/>
      <c r="CE154" s="75"/>
      <c r="CF154" s="75">
        <f>+'[3]ABRIL 2015'!$H$216</f>
        <v>239816980</v>
      </c>
      <c r="CG154" s="75"/>
      <c r="CH154" s="75"/>
      <c r="CI154" s="75"/>
      <c r="CJ154" s="75"/>
      <c r="CK154" s="75"/>
      <c r="CL154" s="75"/>
      <c r="CM154" s="75"/>
      <c r="CN154" s="75"/>
      <c r="CO154" s="75"/>
      <c r="CP154" s="75"/>
      <c r="CQ154" s="75"/>
      <c r="CR154" s="75"/>
      <c r="CS154" s="75"/>
      <c r="CT154" s="75"/>
      <c r="CU154" s="75"/>
      <c r="CV154" s="75"/>
      <c r="CW154" s="25">
        <f t="shared" si="245"/>
        <v>0</v>
      </c>
      <c r="CX154" s="75">
        <f t="shared" ref="CX154:CX185" si="284">SUM(CY154:DR154)</f>
        <v>0</v>
      </c>
      <c r="CY154" s="75"/>
      <c r="CZ154" s="75"/>
      <c r="DA154" s="75"/>
      <c r="DB154" s="75">
        <f t="shared" si="247"/>
        <v>0</v>
      </c>
      <c r="DC154" s="75">
        <f t="shared" si="264"/>
        <v>0</v>
      </c>
      <c r="DD154" s="75">
        <f t="shared" si="265"/>
        <v>0</v>
      </c>
      <c r="DE154" s="75">
        <f t="shared" si="266"/>
        <v>0</v>
      </c>
      <c r="DF154" s="75"/>
      <c r="DG154" s="75">
        <f t="shared" si="267"/>
        <v>0</v>
      </c>
      <c r="DH154" s="75">
        <f t="shared" si="268"/>
        <v>0</v>
      </c>
      <c r="DI154" s="75"/>
      <c r="DJ154" s="75">
        <f t="shared" si="269"/>
        <v>0</v>
      </c>
      <c r="DK154" s="75">
        <f t="shared" si="270"/>
        <v>0</v>
      </c>
      <c r="DL154" s="75">
        <f t="shared" si="271"/>
        <v>0</v>
      </c>
      <c r="DM154" s="75">
        <f t="shared" si="272"/>
        <v>0</v>
      </c>
      <c r="DN154" s="75">
        <f t="shared" si="273"/>
        <v>0</v>
      </c>
      <c r="DO154" s="75">
        <f t="shared" si="274"/>
        <v>0</v>
      </c>
      <c r="DP154" s="75">
        <f t="shared" si="275"/>
        <v>0</v>
      </c>
      <c r="DQ154" s="75">
        <f t="shared" si="277"/>
        <v>0</v>
      </c>
      <c r="DR154" s="75">
        <f t="shared" si="276"/>
        <v>0</v>
      </c>
    </row>
    <row r="155" spans="1:122" ht="18.75" hidden="1" customHeight="1" x14ac:dyDescent="0.3">
      <c r="A155" s="246"/>
      <c r="B155" s="271"/>
      <c r="C155" s="272" t="s">
        <v>91</v>
      </c>
      <c r="D155" s="272" t="s">
        <v>90</v>
      </c>
      <c r="E155" s="273">
        <v>211</v>
      </c>
      <c r="F155" s="181" t="s">
        <v>12</v>
      </c>
      <c r="G155" s="228"/>
      <c r="H155" s="79">
        <f t="shared" si="278"/>
        <v>0</v>
      </c>
      <c r="I155" s="79">
        <f t="shared" si="279"/>
        <v>0</v>
      </c>
      <c r="J155" s="78"/>
      <c r="K155" s="78"/>
      <c r="L155" s="78"/>
      <c r="M155" s="75">
        <f t="shared" si="280"/>
        <v>0</v>
      </c>
      <c r="N155" s="45"/>
      <c r="O155" s="75">
        <f>353000000-353000000</f>
        <v>0</v>
      </c>
      <c r="P155" s="75"/>
      <c r="Q155" s="75">
        <f>99815599-99815599</f>
        <v>0</v>
      </c>
      <c r="R155" s="75"/>
      <c r="S155" s="75"/>
      <c r="T155" s="75">
        <f>500000000-37000000-110000000-353000000</f>
        <v>0</v>
      </c>
      <c r="U155" s="45"/>
      <c r="V155" s="45"/>
      <c r="W155" s="24"/>
      <c r="X155" s="24"/>
      <c r="Y155" s="24"/>
      <c r="Z155" s="24"/>
      <c r="AA155" s="24"/>
      <c r="AB155" s="45"/>
      <c r="AC155" s="45"/>
      <c r="AD155" s="45"/>
      <c r="AE155" s="45"/>
      <c r="AF155" s="45"/>
      <c r="AG155" s="75"/>
      <c r="AI155" s="25" t="e">
        <f t="shared" si="242"/>
        <v>#DIV/0!</v>
      </c>
      <c r="AJ155" s="75">
        <f t="shared" si="281"/>
        <v>0</v>
      </c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  <c r="BA155" s="75"/>
      <c r="BB155" s="75"/>
      <c r="BC155" s="75"/>
      <c r="BD155" s="75"/>
      <c r="BE155" s="25" t="e">
        <f t="shared" si="243"/>
        <v>#DIV/0!</v>
      </c>
      <c r="BF155" s="75">
        <f t="shared" si="282"/>
        <v>0</v>
      </c>
      <c r="BG155" s="75">
        <f t="shared" si="248"/>
        <v>0</v>
      </c>
      <c r="BH155" s="75">
        <f t="shared" si="249"/>
        <v>0</v>
      </c>
      <c r="BI155" s="75"/>
      <c r="BJ155" s="75">
        <f t="shared" si="246"/>
        <v>0</v>
      </c>
      <c r="BK155" s="75">
        <f t="shared" si="250"/>
        <v>0</v>
      </c>
      <c r="BL155" s="75">
        <f t="shared" si="251"/>
        <v>0</v>
      </c>
      <c r="BM155" s="75">
        <f t="shared" si="252"/>
        <v>0</v>
      </c>
      <c r="BN155" s="75"/>
      <c r="BO155" s="75">
        <f t="shared" si="253"/>
        <v>0</v>
      </c>
      <c r="BP155" s="75">
        <f t="shared" si="254"/>
        <v>0</v>
      </c>
      <c r="BQ155" s="75">
        <f t="shared" si="255"/>
        <v>0</v>
      </c>
      <c r="BR155" s="75">
        <f t="shared" si="256"/>
        <v>0</v>
      </c>
      <c r="BS155" s="75">
        <f t="shared" si="257"/>
        <v>0</v>
      </c>
      <c r="BT155" s="75">
        <f t="shared" si="258"/>
        <v>0</v>
      </c>
      <c r="BU155" s="75">
        <f t="shared" si="259"/>
        <v>0</v>
      </c>
      <c r="BV155" s="75">
        <f t="shared" si="260"/>
        <v>0</v>
      </c>
      <c r="BW155" s="75">
        <f t="shared" si="261"/>
        <v>0</v>
      </c>
      <c r="BX155" s="75">
        <f>+AE155-BB155</f>
        <v>0</v>
      </c>
      <c r="BY155" s="75">
        <f t="shared" si="262"/>
        <v>0</v>
      </c>
      <c r="BZ155" s="75">
        <f t="shared" si="263"/>
        <v>0</v>
      </c>
      <c r="CA155" s="25" t="e">
        <f t="shared" si="244"/>
        <v>#DIV/0!</v>
      </c>
      <c r="CB155" s="75">
        <f t="shared" si="283"/>
        <v>0</v>
      </c>
      <c r="CC155" s="75"/>
      <c r="CD155" s="75"/>
      <c r="CE155" s="75"/>
      <c r="CF155" s="75"/>
      <c r="CG155" s="75"/>
      <c r="CH155" s="75"/>
      <c r="CI155" s="75"/>
      <c r="CJ155" s="75"/>
      <c r="CK155" s="75"/>
      <c r="CL155" s="75"/>
      <c r="CM155" s="75"/>
      <c r="CN155" s="75"/>
      <c r="CO155" s="75"/>
      <c r="CP155" s="75"/>
      <c r="CQ155" s="75"/>
      <c r="CR155" s="75"/>
      <c r="CS155" s="75"/>
      <c r="CT155" s="75"/>
      <c r="CU155" s="75"/>
      <c r="CV155" s="75"/>
      <c r="CW155" s="25" t="e">
        <f t="shared" si="245"/>
        <v>#DIV/0!</v>
      </c>
      <c r="CX155" s="75">
        <f t="shared" si="284"/>
        <v>0</v>
      </c>
      <c r="CY155" s="75"/>
      <c r="CZ155" s="75">
        <f>O155-CD155</f>
        <v>0</v>
      </c>
      <c r="DA155" s="75">
        <f>P155-CE155</f>
        <v>0</v>
      </c>
      <c r="DB155" s="75">
        <f t="shared" si="247"/>
        <v>0</v>
      </c>
      <c r="DC155" s="75">
        <f t="shared" si="264"/>
        <v>0</v>
      </c>
      <c r="DD155" s="75">
        <f t="shared" si="265"/>
        <v>0</v>
      </c>
      <c r="DE155" s="75">
        <f t="shared" si="266"/>
        <v>0</v>
      </c>
      <c r="DF155" s="75"/>
      <c r="DG155" s="75">
        <f t="shared" si="267"/>
        <v>0</v>
      </c>
      <c r="DH155" s="75">
        <f t="shared" si="268"/>
        <v>0</v>
      </c>
      <c r="DI155" s="75"/>
      <c r="DJ155" s="75">
        <f t="shared" si="269"/>
        <v>0</v>
      </c>
      <c r="DK155" s="75">
        <f t="shared" si="270"/>
        <v>0</v>
      </c>
      <c r="DL155" s="75">
        <f t="shared" si="271"/>
        <v>0</v>
      </c>
      <c r="DM155" s="75">
        <f t="shared" si="272"/>
        <v>0</v>
      </c>
      <c r="DN155" s="75">
        <f t="shared" si="273"/>
        <v>0</v>
      </c>
      <c r="DO155" s="75">
        <f t="shared" si="274"/>
        <v>0</v>
      </c>
      <c r="DP155" s="75">
        <f t="shared" si="275"/>
        <v>0</v>
      </c>
      <c r="DQ155" s="75">
        <f t="shared" si="277"/>
        <v>0</v>
      </c>
      <c r="DR155" s="75">
        <f t="shared" si="276"/>
        <v>0</v>
      </c>
    </row>
    <row r="156" spans="1:122" ht="42.75" hidden="1" customHeight="1" x14ac:dyDescent="0.3">
      <c r="A156" s="246"/>
      <c r="B156" s="271"/>
      <c r="C156" s="272" t="s">
        <v>89</v>
      </c>
      <c r="D156" s="272" t="s">
        <v>88</v>
      </c>
      <c r="E156" s="273">
        <v>211</v>
      </c>
      <c r="F156" s="181" t="s">
        <v>87</v>
      </c>
      <c r="G156" s="228"/>
      <c r="H156" s="79">
        <f t="shared" si="278"/>
        <v>14638234</v>
      </c>
      <c r="I156" s="79">
        <f t="shared" si="279"/>
        <v>446136880</v>
      </c>
      <c r="J156" s="78"/>
      <c r="K156" s="78"/>
      <c r="L156" s="78"/>
      <c r="M156" s="75">
        <f t="shared" si="280"/>
        <v>460775114</v>
      </c>
      <c r="N156" s="45"/>
      <c r="O156" s="75"/>
      <c r="P156" s="75"/>
      <c r="Q156" s="75">
        <v>420000000</v>
      </c>
      <c r="R156" s="75"/>
      <c r="S156" s="75"/>
      <c r="T156" s="75"/>
      <c r="U156" s="45"/>
      <c r="V156" s="45"/>
      <c r="W156" s="24"/>
      <c r="X156" s="24"/>
      <c r="Y156" s="24"/>
      <c r="Z156" s="24"/>
      <c r="AA156" s="24"/>
      <c r="AB156" s="45"/>
      <c r="AC156" s="45"/>
      <c r="AD156" s="45"/>
      <c r="AE156" s="45"/>
      <c r="AF156" s="45"/>
      <c r="AG156" s="75">
        <f>37000000+3775114</f>
        <v>40775114</v>
      </c>
      <c r="AI156" s="25">
        <f t="shared" si="242"/>
        <v>8.0299475548499352E-2</v>
      </c>
      <c r="AJ156" s="75">
        <f t="shared" si="281"/>
        <v>37000000</v>
      </c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  <c r="AY156" s="75"/>
      <c r="AZ156" s="75"/>
      <c r="BA156" s="75"/>
      <c r="BB156" s="75"/>
      <c r="BC156" s="75"/>
      <c r="BD156" s="75">
        <f>+'[8]FEBRERO 2015'!$G$196</f>
        <v>37000000</v>
      </c>
      <c r="BE156" s="25">
        <f t="shared" si="243"/>
        <v>0.91970052445150063</v>
      </c>
      <c r="BF156" s="75">
        <f t="shared" si="282"/>
        <v>423775114</v>
      </c>
      <c r="BG156" s="75">
        <f t="shared" si="248"/>
        <v>0</v>
      </c>
      <c r="BH156" s="75">
        <f t="shared" si="249"/>
        <v>0</v>
      </c>
      <c r="BI156" s="75"/>
      <c r="BJ156" s="75">
        <f t="shared" si="246"/>
        <v>420000000</v>
      </c>
      <c r="BK156" s="75">
        <f t="shared" si="250"/>
        <v>0</v>
      </c>
      <c r="BL156" s="75">
        <f t="shared" si="251"/>
        <v>0</v>
      </c>
      <c r="BM156" s="75">
        <f t="shared" si="252"/>
        <v>0</v>
      </c>
      <c r="BN156" s="75"/>
      <c r="BO156" s="75">
        <f t="shared" si="253"/>
        <v>0</v>
      </c>
      <c r="BP156" s="75">
        <f t="shared" si="254"/>
        <v>0</v>
      </c>
      <c r="BQ156" s="75">
        <f t="shared" si="255"/>
        <v>0</v>
      </c>
      <c r="BR156" s="75">
        <f t="shared" si="256"/>
        <v>0</v>
      </c>
      <c r="BS156" s="75">
        <f t="shared" si="257"/>
        <v>0</v>
      </c>
      <c r="BT156" s="75">
        <f t="shared" si="258"/>
        <v>0</v>
      </c>
      <c r="BU156" s="75">
        <f t="shared" si="259"/>
        <v>0</v>
      </c>
      <c r="BV156" s="75">
        <f t="shared" si="260"/>
        <v>0</v>
      </c>
      <c r="BW156" s="75">
        <f t="shared" si="261"/>
        <v>0</v>
      </c>
      <c r="BX156" s="75"/>
      <c r="BY156" s="75">
        <f t="shared" si="262"/>
        <v>0</v>
      </c>
      <c r="BZ156" s="75">
        <f t="shared" si="263"/>
        <v>3775114</v>
      </c>
      <c r="CA156" s="25">
        <f t="shared" si="244"/>
        <v>3.1768716571789507E-2</v>
      </c>
      <c r="CB156" s="75">
        <f t="shared" si="283"/>
        <v>14638234</v>
      </c>
      <c r="CC156" s="75"/>
      <c r="CD156" s="75"/>
      <c r="CE156" s="75"/>
      <c r="CF156" s="75"/>
      <c r="CG156" s="75"/>
      <c r="CH156" s="75"/>
      <c r="CI156" s="75"/>
      <c r="CJ156" s="75"/>
      <c r="CK156" s="75"/>
      <c r="CL156" s="75"/>
      <c r="CM156" s="75"/>
      <c r="CN156" s="75"/>
      <c r="CO156" s="75"/>
      <c r="CP156" s="75"/>
      <c r="CQ156" s="75"/>
      <c r="CR156" s="75"/>
      <c r="CS156" s="75"/>
      <c r="CT156" s="75"/>
      <c r="CU156" s="75"/>
      <c r="CV156" s="75">
        <f>+'[1]AGOSTO 2015'!$H$276</f>
        <v>14638234</v>
      </c>
      <c r="CW156" s="25">
        <f t="shared" si="245"/>
        <v>0.96823128342821052</v>
      </c>
      <c r="CX156" s="75">
        <f t="shared" si="284"/>
        <v>446136880</v>
      </c>
      <c r="CY156" s="75"/>
      <c r="CZ156" s="75"/>
      <c r="DA156" s="75"/>
      <c r="DB156" s="75">
        <f t="shared" si="247"/>
        <v>420000000</v>
      </c>
      <c r="DC156" s="75">
        <f t="shared" si="264"/>
        <v>0</v>
      </c>
      <c r="DD156" s="75">
        <f t="shared" si="265"/>
        <v>0</v>
      </c>
      <c r="DE156" s="75">
        <f t="shared" si="266"/>
        <v>0</v>
      </c>
      <c r="DF156" s="75"/>
      <c r="DG156" s="75">
        <f t="shared" si="267"/>
        <v>0</v>
      </c>
      <c r="DH156" s="75">
        <f t="shared" si="268"/>
        <v>0</v>
      </c>
      <c r="DI156" s="75"/>
      <c r="DJ156" s="75">
        <f t="shared" si="269"/>
        <v>0</v>
      </c>
      <c r="DK156" s="75">
        <f t="shared" si="270"/>
        <v>0</v>
      </c>
      <c r="DL156" s="75">
        <f t="shared" si="271"/>
        <v>0</v>
      </c>
      <c r="DM156" s="75">
        <f t="shared" si="272"/>
        <v>0</v>
      </c>
      <c r="DN156" s="75">
        <f t="shared" si="273"/>
        <v>0</v>
      </c>
      <c r="DO156" s="75">
        <f t="shared" si="274"/>
        <v>0</v>
      </c>
      <c r="DP156" s="75">
        <f t="shared" si="275"/>
        <v>0</v>
      </c>
      <c r="DQ156" s="75">
        <f t="shared" si="277"/>
        <v>0</v>
      </c>
      <c r="DR156" s="75">
        <f t="shared" si="276"/>
        <v>26136880</v>
      </c>
    </row>
    <row r="157" spans="1:122" ht="81" hidden="1" customHeight="1" x14ac:dyDescent="0.3">
      <c r="A157" s="246"/>
      <c r="B157" s="271"/>
      <c r="C157" s="272" t="s">
        <v>86</v>
      </c>
      <c r="D157" s="272" t="s">
        <v>85</v>
      </c>
      <c r="E157" s="273">
        <v>211</v>
      </c>
      <c r="F157" s="181" t="s">
        <v>84</v>
      </c>
      <c r="G157" s="228"/>
      <c r="H157" s="79">
        <f t="shared" si="278"/>
        <v>21204410</v>
      </c>
      <c r="I157" s="79">
        <f t="shared" si="279"/>
        <v>49210006</v>
      </c>
      <c r="J157" s="78"/>
      <c r="K157" s="78"/>
      <c r="L157" s="78"/>
      <c r="M157" s="75">
        <f t="shared" si="280"/>
        <v>70414416</v>
      </c>
      <c r="N157" s="45"/>
      <c r="O157" s="75"/>
      <c r="P157" s="75"/>
      <c r="Q157" s="75"/>
      <c r="R157" s="75"/>
      <c r="S157" s="75"/>
      <c r="T157" s="75"/>
      <c r="U157" s="45"/>
      <c r="V157" s="45"/>
      <c r="W157" s="24"/>
      <c r="X157" s="24"/>
      <c r="Y157" s="24"/>
      <c r="Z157" s="24"/>
      <c r="AA157" s="24"/>
      <c r="AB157" s="45"/>
      <c r="AC157" s="45"/>
      <c r="AD157" s="45"/>
      <c r="AE157" s="45"/>
      <c r="AF157" s="45"/>
      <c r="AG157" s="75">
        <f>6158702+2689112+21598701+428146+6000101+7556188+25983466</f>
        <v>70414416</v>
      </c>
      <c r="AI157" s="25">
        <f t="shared" si="242"/>
        <v>0.87610883544074269</v>
      </c>
      <c r="AJ157" s="75">
        <f t="shared" si="281"/>
        <v>61690692</v>
      </c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  <c r="AY157" s="75"/>
      <c r="AZ157" s="75"/>
      <c r="BA157" s="75"/>
      <c r="BB157" s="75"/>
      <c r="BC157" s="75"/>
      <c r="BD157" s="75">
        <f>+'[2]JULIO 2015'!$AD$273</f>
        <v>61690692</v>
      </c>
      <c r="BE157" s="25">
        <f t="shared" si="243"/>
        <v>0.12389116455925731</v>
      </c>
      <c r="BF157" s="75">
        <f t="shared" si="282"/>
        <v>8723724</v>
      </c>
      <c r="BG157" s="75">
        <f t="shared" si="248"/>
        <v>0</v>
      </c>
      <c r="BH157" s="75">
        <f t="shared" si="249"/>
        <v>0</v>
      </c>
      <c r="BI157" s="75"/>
      <c r="BJ157" s="75">
        <f t="shared" si="246"/>
        <v>0</v>
      </c>
      <c r="BK157" s="75">
        <f t="shared" si="250"/>
        <v>0</v>
      </c>
      <c r="BL157" s="75">
        <f t="shared" si="251"/>
        <v>0</v>
      </c>
      <c r="BM157" s="75">
        <f t="shared" si="252"/>
        <v>0</v>
      </c>
      <c r="BN157" s="75"/>
      <c r="BO157" s="75">
        <f t="shared" si="253"/>
        <v>0</v>
      </c>
      <c r="BP157" s="75">
        <f t="shared" si="254"/>
        <v>0</v>
      </c>
      <c r="BQ157" s="75">
        <f t="shared" si="255"/>
        <v>0</v>
      </c>
      <c r="BR157" s="75">
        <f t="shared" si="256"/>
        <v>0</v>
      </c>
      <c r="BS157" s="75">
        <f t="shared" si="257"/>
        <v>0</v>
      </c>
      <c r="BT157" s="75">
        <f t="shared" si="258"/>
        <v>0</v>
      </c>
      <c r="BU157" s="75">
        <f t="shared" si="259"/>
        <v>0</v>
      </c>
      <c r="BV157" s="75">
        <f t="shared" si="260"/>
        <v>0</v>
      </c>
      <c r="BW157" s="75">
        <f t="shared" si="261"/>
        <v>0</v>
      </c>
      <c r="BX157" s="75"/>
      <c r="BY157" s="75">
        <f t="shared" si="262"/>
        <v>0</v>
      </c>
      <c r="BZ157" s="75">
        <f t="shared" si="263"/>
        <v>8723724</v>
      </c>
      <c r="CA157" s="25">
        <f t="shared" si="244"/>
        <v>0.30113734096722466</v>
      </c>
      <c r="CB157" s="75">
        <f t="shared" si="283"/>
        <v>21204410</v>
      </c>
      <c r="CC157" s="75"/>
      <c r="CD157" s="75"/>
      <c r="CE157" s="75"/>
      <c r="CF157" s="75"/>
      <c r="CG157" s="75"/>
      <c r="CH157" s="75"/>
      <c r="CI157" s="75"/>
      <c r="CJ157" s="75"/>
      <c r="CK157" s="75"/>
      <c r="CL157" s="75"/>
      <c r="CM157" s="75"/>
      <c r="CN157" s="75"/>
      <c r="CO157" s="75"/>
      <c r="CP157" s="75"/>
      <c r="CQ157" s="75"/>
      <c r="CR157" s="75"/>
      <c r="CS157" s="75"/>
      <c r="CT157" s="75"/>
      <c r="CU157" s="75"/>
      <c r="CV157" s="75">
        <f>+'[1]AGOSTO 2015'!$H$284</f>
        <v>21204410</v>
      </c>
      <c r="CW157" s="25">
        <f t="shared" si="245"/>
        <v>0.69886265903277534</v>
      </c>
      <c r="CX157" s="75">
        <f t="shared" si="284"/>
        <v>49210006</v>
      </c>
      <c r="CY157" s="75"/>
      <c r="CZ157" s="75"/>
      <c r="DA157" s="75"/>
      <c r="DB157" s="75">
        <f t="shared" si="247"/>
        <v>0</v>
      </c>
      <c r="DC157" s="75">
        <f t="shared" si="264"/>
        <v>0</v>
      </c>
      <c r="DD157" s="75">
        <f t="shared" si="265"/>
        <v>0</v>
      </c>
      <c r="DE157" s="75">
        <f t="shared" si="266"/>
        <v>0</v>
      </c>
      <c r="DF157" s="75"/>
      <c r="DG157" s="75">
        <f t="shared" si="267"/>
        <v>0</v>
      </c>
      <c r="DH157" s="75">
        <f t="shared" si="268"/>
        <v>0</v>
      </c>
      <c r="DI157" s="75"/>
      <c r="DJ157" s="75">
        <f t="shared" si="269"/>
        <v>0</v>
      </c>
      <c r="DK157" s="75">
        <f t="shared" si="270"/>
        <v>0</v>
      </c>
      <c r="DL157" s="75">
        <f t="shared" si="271"/>
        <v>0</v>
      </c>
      <c r="DM157" s="75">
        <f t="shared" si="272"/>
        <v>0</v>
      </c>
      <c r="DN157" s="75">
        <f t="shared" si="273"/>
        <v>0</v>
      </c>
      <c r="DO157" s="75">
        <f t="shared" si="274"/>
        <v>0</v>
      </c>
      <c r="DP157" s="75">
        <f t="shared" si="275"/>
        <v>0</v>
      </c>
      <c r="DQ157" s="75">
        <f t="shared" si="277"/>
        <v>0</v>
      </c>
      <c r="DR157" s="75">
        <f t="shared" si="276"/>
        <v>49210006</v>
      </c>
    </row>
    <row r="158" spans="1:122" ht="23.25" hidden="1" customHeight="1" x14ac:dyDescent="0.3">
      <c r="A158" s="246"/>
      <c r="B158" s="271"/>
      <c r="C158" s="272" t="s">
        <v>83</v>
      </c>
      <c r="D158" s="272" t="s">
        <v>82</v>
      </c>
      <c r="E158" s="273">
        <v>211</v>
      </c>
      <c r="F158" s="181" t="s">
        <v>12</v>
      </c>
      <c r="G158" s="228"/>
      <c r="H158" s="79">
        <f t="shared" si="278"/>
        <v>0</v>
      </c>
      <c r="I158" s="79">
        <f t="shared" si="279"/>
        <v>0</v>
      </c>
      <c r="J158" s="78"/>
      <c r="K158" s="78"/>
      <c r="L158" s="78"/>
      <c r="M158" s="75">
        <f t="shared" si="280"/>
        <v>0</v>
      </c>
      <c r="N158" s="45"/>
      <c r="O158" s="75">
        <f>270014856-270014856</f>
        <v>0</v>
      </c>
      <c r="P158" s="75"/>
      <c r="Q158" s="75">
        <f>65677916-65677916</f>
        <v>0</v>
      </c>
      <c r="R158" s="75"/>
      <c r="S158" s="75"/>
      <c r="T158" s="75">
        <f>335692772-270014856-65677916</f>
        <v>0</v>
      </c>
      <c r="U158" s="45"/>
      <c r="V158" s="45"/>
      <c r="W158" s="24"/>
      <c r="X158" s="24"/>
      <c r="Y158" s="24"/>
      <c r="Z158" s="24"/>
      <c r="AA158" s="24"/>
      <c r="AB158" s="45"/>
      <c r="AC158" s="45"/>
      <c r="AD158" s="45"/>
      <c r="AE158" s="45"/>
      <c r="AF158" s="45"/>
      <c r="AG158" s="45"/>
      <c r="AI158" s="25" t="e">
        <f t="shared" si="242"/>
        <v>#DIV/0!</v>
      </c>
      <c r="AJ158" s="75">
        <f t="shared" si="281"/>
        <v>0</v>
      </c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  <c r="AY158" s="75"/>
      <c r="AZ158" s="75"/>
      <c r="BA158" s="75"/>
      <c r="BB158" s="75"/>
      <c r="BC158" s="75"/>
      <c r="BD158" s="75"/>
      <c r="BE158" s="25" t="e">
        <f t="shared" si="243"/>
        <v>#DIV/0!</v>
      </c>
      <c r="BF158" s="75">
        <f t="shared" si="282"/>
        <v>0</v>
      </c>
      <c r="BG158" s="75">
        <f t="shared" si="248"/>
        <v>0</v>
      </c>
      <c r="BH158" s="75">
        <f t="shared" si="249"/>
        <v>0</v>
      </c>
      <c r="BI158" s="75"/>
      <c r="BJ158" s="75">
        <f t="shared" si="246"/>
        <v>0</v>
      </c>
      <c r="BK158" s="75">
        <f t="shared" si="250"/>
        <v>0</v>
      </c>
      <c r="BL158" s="75">
        <f t="shared" si="251"/>
        <v>0</v>
      </c>
      <c r="BM158" s="75">
        <f t="shared" si="252"/>
        <v>0</v>
      </c>
      <c r="BN158" s="75"/>
      <c r="BO158" s="75">
        <f t="shared" si="253"/>
        <v>0</v>
      </c>
      <c r="BP158" s="75">
        <f t="shared" si="254"/>
        <v>0</v>
      </c>
      <c r="BQ158" s="75">
        <f t="shared" si="255"/>
        <v>0</v>
      </c>
      <c r="BR158" s="75">
        <f t="shared" si="256"/>
        <v>0</v>
      </c>
      <c r="BS158" s="75">
        <f t="shared" si="257"/>
        <v>0</v>
      </c>
      <c r="BT158" s="75">
        <f t="shared" si="258"/>
        <v>0</v>
      </c>
      <c r="BU158" s="75">
        <f t="shared" si="259"/>
        <v>0</v>
      </c>
      <c r="BV158" s="75">
        <f t="shared" si="260"/>
        <v>0</v>
      </c>
      <c r="BW158" s="75">
        <f t="shared" si="261"/>
        <v>0</v>
      </c>
      <c r="BX158" s="75"/>
      <c r="BY158" s="75">
        <f t="shared" si="262"/>
        <v>0</v>
      </c>
      <c r="BZ158" s="75">
        <f t="shared" si="263"/>
        <v>0</v>
      </c>
      <c r="CA158" s="25" t="e">
        <f t="shared" si="244"/>
        <v>#DIV/0!</v>
      </c>
      <c r="CB158" s="75">
        <f t="shared" si="283"/>
        <v>0</v>
      </c>
      <c r="CC158" s="75"/>
      <c r="CD158" s="75"/>
      <c r="CE158" s="75"/>
      <c r="CF158" s="75"/>
      <c r="CG158" s="75"/>
      <c r="CH158" s="75"/>
      <c r="CI158" s="75"/>
      <c r="CJ158" s="75"/>
      <c r="CK158" s="75"/>
      <c r="CL158" s="75"/>
      <c r="CM158" s="75"/>
      <c r="CN158" s="75"/>
      <c r="CO158" s="75"/>
      <c r="CP158" s="75"/>
      <c r="CQ158" s="75"/>
      <c r="CR158" s="75"/>
      <c r="CS158" s="75"/>
      <c r="CT158" s="75"/>
      <c r="CU158" s="75"/>
      <c r="CV158" s="75"/>
      <c r="CW158" s="25" t="e">
        <f t="shared" si="245"/>
        <v>#DIV/0!</v>
      </c>
      <c r="CX158" s="75">
        <f t="shared" si="284"/>
        <v>0</v>
      </c>
      <c r="CY158" s="75"/>
      <c r="CZ158" s="75">
        <f>O158-CD158</f>
        <v>0</v>
      </c>
      <c r="DA158" s="75">
        <f>P158-CE158</f>
        <v>0</v>
      </c>
      <c r="DB158" s="75">
        <f t="shared" si="247"/>
        <v>0</v>
      </c>
      <c r="DC158" s="75">
        <f t="shared" si="264"/>
        <v>0</v>
      </c>
      <c r="DD158" s="75">
        <f t="shared" si="265"/>
        <v>0</v>
      </c>
      <c r="DE158" s="75">
        <f t="shared" si="266"/>
        <v>0</v>
      </c>
      <c r="DF158" s="75"/>
      <c r="DG158" s="75">
        <f t="shared" si="267"/>
        <v>0</v>
      </c>
      <c r="DH158" s="75">
        <f t="shared" si="268"/>
        <v>0</v>
      </c>
      <c r="DI158" s="75"/>
      <c r="DJ158" s="75">
        <f t="shared" si="269"/>
        <v>0</v>
      </c>
      <c r="DK158" s="75">
        <f t="shared" si="270"/>
        <v>0</v>
      </c>
      <c r="DL158" s="75">
        <f t="shared" si="271"/>
        <v>0</v>
      </c>
      <c r="DM158" s="75">
        <f t="shared" si="272"/>
        <v>0</v>
      </c>
      <c r="DN158" s="75">
        <f t="shared" si="273"/>
        <v>0</v>
      </c>
      <c r="DO158" s="75">
        <f t="shared" si="274"/>
        <v>0</v>
      </c>
      <c r="DP158" s="75">
        <f t="shared" si="275"/>
        <v>0</v>
      </c>
      <c r="DQ158" s="75">
        <f t="shared" si="277"/>
        <v>0</v>
      </c>
      <c r="DR158" s="75">
        <f t="shared" si="276"/>
        <v>0</v>
      </c>
    </row>
    <row r="159" spans="1:122" ht="32.25" hidden="1" customHeight="1" x14ac:dyDescent="0.3">
      <c r="A159" s="246"/>
      <c r="B159" s="271"/>
      <c r="C159" s="272" t="s">
        <v>81</v>
      </c>
      <c r="D159" s="272" t="s">
        <v>80</v>
      </c>
      <c r="E159" s="273">
        <v>211</v>
      </c>
      <c r="F159" s="181" t="s">
        <v>12</v>
      </c>
      <c r="G159" s="228"/>
      <c r="H159" s="79">
        <f t="shared" si="278"/>
        <v>167851094</v>
      </c>
      <c r="I159" s="79">
        <f t="shared" si="279"/>
        <v>32148906</v>
      </c>
      <c r="J159" s="78"/>
      <c r="K159" s="78"/>
      <c r="L159" s="78"/>
      <c r="M159" s="75">
        <f t="shared" si="280"/>
        <v>200000000</v>
      </c>
      <c r="N159" s="45"/>
      <c r="O159" s="75"/>
      <c r="P159" s="75"/>
      <c r="Q159" s="75">
        <f>300000000-100000000</f>
        <v>200000000</v>
      </c>
      <c r="R159" s="75"/>
      <c r="S159" s="75"/>
      <c r="T159" s="75">
        <f>300000000-300000000</f>
        <v>0</v>
      </c>
      <c r="U159" s="75"/>
      <c r="V159" s="75"/>
      <c r="W159" s="75"/>
      <c r="X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  <c r="AI159" s="25">
        <f t="shared" si="242"/>
        <v>0.91226552000000005</v>
      </c>
      <c r="AJ159" s="75">
        <f t="shared" si="281"/>
        <v>182453104</v>
      </c>
      <c r="AK159" s="75"/>
      <c r="AL159" s="75"/>
      <c r="AM159" s="75"/>
      <c r="AN159" s="75">
        <f>+'[2]JULIO 2015'!$M$293</f>
        <v>182453104</v>
      </c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  <c r="BA159" s="75"/>
      <c r="BB159" s="75"/>
      <c r="BC159" s="75"/>
      <c r="BD159" s="75"/>
      <c r="BE159" s="25">
        <f t="shared" si="243"/>
        <v>8.7734479999999948E-2</v>
      </c>
      <c r="BF159" s="75">
        <f t="shared" si="282"/>
        <v>17546896</v>
      </c>
      <c r="BG159" s="75">
        <f t="shared" si="248"/>
        <v>0</v>
      </c>
      <c r="BH159" s="75">
        <f t="shared" si="249"/>
        <v>0</v>
      </c>
      <c r="BI159" s="75"/>
      <c r="BJ159" s="75">
        <f t="shared" si="246"/>
        <v>17546896</v>
      </c>
      <c r="BK159" s="75">
        <f t="shared" si="250"/>
        <v>0</v>
      </c>
      <c r="BL159" s="75">
        <f t="shared" si="251"/>
        <v>0</v>
      </c>
      <c r="BM159" s="75">
        <f t="shared" si="252"/>
        <v>0</v>
      </c>
      <c r="BN159" s="75"/>
      <c r="BO159" s="75">
        <f t="shared" si="253"/>
        <v>0</v>
      </c>
      <c r="BP159" s="75">
        <f t="shared" si="254"/>
        <v>0</v>
      </c>
      <c r="BQ159" s="75">
        <f t="shared" si="255"/>
        <v>0</v>
      </c>
      <c r="BR159" s="75">
        <f t="shared" si="256"/>
        <v>0</v>
      </c>
      <c r="BS159" s="75">
        <f t="shared" si="257"/>
        <v>0</v>
      </c>
      <c r="BT159" s="75">
        <f t="shared" si="258"/>
        <v>0</v>
      </c>
      <c r="BU159" s="75">
        <f t="shared" si="259"/>
        <v>0</v>
      </c>
      <c r="BV159" s="75">
        <f t="shared" si="260"/>
        <v>0</v>
      </c>
      <c r="BW159" s="75">
        <f t="shared" si="261"/>
        <v>0</v>
      </c>
      <c r="BX159" s="75"/>
      <c r="BY159" s="75">
        <f t="shared" si="262"/>
        <v>0</v>
      </c>
      <c r="BZ159" s="75">
        <f t="shared" si="263"/>
        <v>0</v>
      </c>
      <c r="CA159" s="25">
        <f t="shared" si="244"/>
        <v>0.83925547</v>
      </c>
      <c r="CB159" s="75">
        <f t="shared" si="283"/>
        <v>167851094</v>
      </c>
      <c r="CC159" s="75"/>
      <c r="CD159" s="75"/>
      <c r="CE159" s="75"/>
      <c r="CF159" s="75">
        <f>+'[1]AGOSTO 2015'!$H$305</f>
        <v>167851094</v>
      </c>
      <c r="CG159" s="75"/>
      <c r="CH159" s="75"/>
      <c r="CI159" s="75"/>
      <c r="CJ159" s="75"/>
      <c r="CK159" s="75"/>
      <c r="CL159" s="75"/>
      <c r="CM159" s="75"/>
      <c r="CN159" s="75"/>
      <c r="CO159" s="75"/>
      <c r="CP159" s="75"/>
      <c r="CQ159" s="75"/>
      <c r="CR159" s="75"/>
      <c r="CS159" s="75"/>
      <c r="CT159" s="75"/>
      <c r="CU159" s="75"/>
      <c r="CV159" s="75"/>
      <c r="CW159" s="25">
        <f t="shared" si="245"/>
        <v>0.16074453</v>
      </c>
      <c r="CX159" s="75">
        <f t="shared" si="284"/>
        <v>32148906</v>
      </c>
      <c r="CY159" s="75"/>
      <c r="CZ159" s="75"/>
      <c r="DA159" s="75"/>
      <c r="DB159" s="75">
        <f t="shared" si="247"/>
        <v>32148906</v>
      </c>
      <c r="DC159" s="75">
        <f t="shared" si="264"/>
        <v>0</v>
      </c>
      <c r="DD159" s="75">
        <f t="shared" si="265"/>
        <v>0</v>
      </c>
      <c r="DE159" s="75">
        <f t="shared" si="266"/>
        <v>0</v>
      </c>
      <c r="DF159" s="75"/>
      <c r="DG159" s="75">
        <f t="shared" si="267"/>
        <v>0</v>
      </c>
      <c r="DH159" s="75">
        <f t="shared" si="268"/>
        <v>0</v>
      </c>
      <c r="DI159" s="75"/>
      <c r="DJ159" s="75">
        <f t="shared" si="269"/>
        <v>0</v>
      </c>
      <c r="DK159" s="75">
        <f t="shared" si="270"/>
        <v>0</v>
      </c>
      <c r="DL159" s="75">
        <f t="shared" si="271"/>
        <v>0</v>
      </c>
      <c r="DM159" s="75">
        <f t="shared" si="272"/>
        <v>0</v>
      </c>
      <c r="DN159" s="75">
        <f t="shared" si="273"/>
        <v>0</v>
      </c>
      <c r="DO159" s="75">
        <f t="shared" si="274"/>
        <v>0</v>
      </c>
      <c r="DP159" s="75">
        <f t="shared" si="275"/>
        <v>0</v>
      </c>
      <c r="DQ159" s="75">
        <f t="shared" si="277"/>
        <v>0</v>
      </c>
      <c r="DR159" s="75">
        <f t="shared" si="276"/>
        <v>0</v>
      </c>
    </row>
    <row r="160" spans="1:122" ht="55.5" hidden="1" customHeight="1" x14ac:dyDescent="0.3">
      <c r="A160" s="246"/>
      <c r="B160" s="271"/>
      <c r="C160" s="272" t="s">
        <v>79</v>
      </c>
      <c r="D160" s="272" t="s">
        <v>78</v>
      </c>
      <c r="E160" s="273">
        <v>211</v>
      </c>
      <c r="F160" s="181" t="s">
        <v>77</v>
      </c>
      <c r="G160" s="228"/>
      <c r="H160" s="79">
        <f t="shared" si="278"/>
        <v>160606305</v>
      </c>
      <c r="I160" s="79">
        <f t="shared" si="279"/>
        <v>371983529</v>
      </c>
      <c r="J160" s="78"/>
      <c r="K160" s="78"/>
      <c r="L160" s="78"/>
      <c r="M160" s="75">
        <f t="shared" si="280"/>
        <v>532589834</v>
      </c>
      <c r="N160" s="45"/>
      <c r="O160" s="75"/>
      <c r="P160" s="75"/>
      <c r="Q160" s="75">
        <f>200000000+194000000-116541544+210000000</f>
        <v>487458456</v>
      </c>
      <c r="R160" s="75"/>
      <c r="S160" s="75"/>
      <c r="T160" s="75">
        <f>194000000-194000000</f>
        <v>0</v>
      </c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>
        <f>45131378</f>
        <v>45131378</v>
      </c>
      <c r="AH160" s="75"/>
      <c r="AI160" s="25">
        <f t="shared" si="242"/>
        <v>0.57725453693132267</v>
      </c>
      <c r="AJ160" s="75">
        <f t="shared" si="281"/>
        <v>307439898</v>
      </c>
      <c r="AK160" s="75"/>
      <c r="AL160" s="75"/>
      <c r="AM160" s="75"/>
      <c r="AN160" s="75">
        <f>+'[1]AGOSTO 2015'!$M$321</f>
        <v>262308520</v>
      </c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>
        <f>+'[2]JULIO 2015'!$AD$306</f>
        <v>45131378</v>
      </c>
      <c r="BE160" s="25">
        <f t="shared" si="243"/>
        <v>0.42274546306867733</v>
      </c>
      <c r="BF160" s="75">
        <f t="shared" si="282"/>
        <v>225149936</v>
      </c>
      <c r="BG160" s="75">
        <f t="shared" si="248"/>
        <v>0</v>
      </c>
      <c r="BH160" s="75">
        <f t="shared" si="249"/>
        <v>0</v>
      </c>
      <c r="BI160" s="75"/>
      <c r="BJ160" s="75">
        <f t="shared" si="246"/>
        <v>225149936</v>
      </c>
      <c r="BK160" s="75">
        <f t="shared" si="250"/>
        <v>0</v>
      </c>
      <c r="BL160" s="75">
        <f t="shared" si="251"/>
        <v>0</v>
      </c>
      <c r="BM160" s="75">
        <f t="shared" si="252"/>
        <v>0</v>
      </c>
      <c r="BN160" s="75"/>
      <c r="BO160" s="75">
        <f t="shared" si="253"/>
        <v>0</v>
      </c>
      <c r="BP160" s="75">
        <f t="shared" si="254"/>
        <v>0</v>
      </c>
      <c r="BQ160" s="75">
        <f t="shared" si="255"/>
        <v>0</v>
      </c>
      <c r="BR160" s="75">
        <f t="shared" si="256"/>
        <v>0</v>
      </c>
      <c r="BS160" s="75">
        <f t="shared" si="257"/>
        <v>0</v>
      </c>
      <c r="BT160" s="75">
        <f t="shared" si="258"/>
        <v>0</v>
      </c>
      <c r="BU160" s="75">
        <f t="shared" si="259"/>
        <v>0</v>
      </c>
      <c r="BV160" s="75">
        <f t="shared" si="260"/>
        <v>0</v>
      </c>
      <c r="BW160" s="75">
        <f t="shared" si="261"/>
        <v>0</v>
      </c>
      <c r="BX160" s="75"/>
      <c r="BY160" s="75">
        <f t="shared" si="262"/>
        <v>0</v>
      </c>
      <c r="BZ160" s="75">
        <f t="shared" si="263"/>
        <v>0</v>
      </c>
      <c r="CA160" s="25">
        <f t="shared" si="244"/>
        <v>0.30155721109764932</v>
      </c>
      <c r="CB160" s="75">
        <f t="shared" si="283"/>
        <v>160606305</v>
      </c>
      <c r="CC160" s="75"/>
      <c r="CD160" s="75"/>
      <c r="CE160" s="75"/>
      <c r="CF160" s="75">
        <f>+'[1]AGOSTO 2015'!$H$322+'[1]AGOSTO 2015'!$H$328+'[1]AGOSTO 2015'!$H$330+'[1]AGOSTO 2015'!$H$335</f>
        <v>149011305</v>
      </c>
      <c r="CG160" s="75"/>
      <c r="CH160" s="75"/>
      <c r="CI160" s="75"/>
      <c r="CJ160" s="75"/>
      <c r="CK160" s="75"/>
      <c r="CL160" s="75"/>
      <c r="CM160" s="75"/>
      <c r="CN160" s="75"/>
      <c r="CO160" s="75"/>
      <c r="CP160" s="75"/>
      <c r="CQ160" s="75"/>
      <c r="CR160" s="75"/>
      <c r="CS160" s="75"/>
      <c r="CT160" s="75"/>
      <c r="CU160" s="75"/>
      <c r="CV160" s="75">
        <f>+'[1]AGOSTO 2015'!$H$325+'[1]AGOSTO 2015'!$H$333</f>
        <v>11595000</v>
      </c>
      <c r="CW160" s="25">
        <f t="shared" si="245"/>
        <v>0.69844278890235068</v>
      </c>
      <c r="CX160" s="75">
        <f t="shared" si="284"/>
        <v>371983529</v>
      </c>
      <c r="CY160" s="75"/>
      <c r="CZ160" s="75"/>
      <c r="DA160" s="75"/>
      <c r="DB160" s="75">
        <f t="shared" si="247"/>
        <v>338447151</v>
      </c>
      <c r="DC160" s="75">
        <f t="shared" si="264"/>
        <v>0</v>
      </c>
      <c r="DD160" s="75">
        <f t="shared" si="265"/>
        <v>0</v>
      </c>
      <c r="DE160" s="75">
        <f t="shared" si="266"/>
        <v>0</v>
      </c>
      <c r="DF160" s="75"/>
      <c r="DG160" s="75">
        <f t="shared" si="267"/>
        <v>0</v>
      </c>
      <c r="DH160" s="75">
        <f t="shared" si="268"/>
        <v>0</v>
      </c>
      <c r="DI160" s="75"/>
      <c r="DJ160" s="75">
        <f t="shared" si="269"/>
        <v>0</v>
      </c>
      <c r="DK160" s="75">
        <f t="shared" si="270"/>
        <v>0</v>
      </c>
      <c r="DL160" s="75">
        <f t="shared" si="271"/>
        <v>0</v>
      </c>
      <c r="DM160" s="75">
        <f t="shared" si="272"/>
        <v>0</v>
      </c>
      <c r="DN160" s="75">
        <f t="shared" si="273"/>
        <v>0</v>
      </c>
      <c r="DO160" s="75">
        <f t="shared" si="274"/>
        <v>0</v>
      </c>
      <c r="DP160" s="75">
        <f t="shared" si="275"/>
        <v>0</v>
      </c>
      <c r="DQ160" s="75">
        <f t="shared" si="277"/>
        <v>0</v>
      </c>
      <c r="DR160" s="75">
        <f t="shared" si="276"/>
        <v>33536378</v>
      </c>
    </row>
    <row r="161" spans="1:122" ht="36" hidden="1" customHeight="1" x14ac:dyDescent="0.3">
      <c r="A161" s="246"/>
      <c r="B161" s="271"/>
      <c r="C161" s="272" t="s">
        <v>76</v>
      </c>
      <c r="D161" s="272" t="s">
        <v>75</v>
      </c>
      <c r="E161" s="273">
        <v>211</v>
      </c>
      <c r="F161" s="181" t="s">
        <v>74</v>
      </c>
      <c r="G161" s="228"/>
      <c r="H161" s="79">
        <f t="shared" si="278"/>
        <v>3525240</v>
      </c>
      <c r="I161" s="79">
        <f t="shared" si="279"/>
        <v>4474760</v>
      </c>
      <c r="J161" s="78"/>
      <c r="K161" s="78"/>
      <c r="L161" s="78"/>
      <c r="M161" s="75">
        <f t="shared" si="280"/>
        <v>8000000</v>
      </c>
      <c r="N161" s="4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>
        <f>6000000+2000000</f>
        <v>8000000</v>
      </c>
      <c r="AH161" s="75"/>
      <c r="AI161" s="25">
        <f t="shared" si="242"/>
        <v>0.44065500000000002</v>
      </c>
      <c r="AJ161" s="75">
        <f t="shared" si="281"/>
        <v>3525240</v>
      </c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>
        <f>+'[1]AGOSTO 2015'!$AD$339</f>
        <v>3525240</v>
      </c>
      <c r="BE161" s="25">
        <f t="shared" si="243"/>
        <v>0.55934499999999998</v>
      </c>
      <c r="BF161" s="75">
        <f t="shared" si="282"/>
        <v>4474760</v>
      </c>
      <c r="BG161" s="75">
        <f t="shared" si="248"/>
        <v>0</v>
      </c>
      <c r="BH161" s="75">
        <f t="shared" si="249"/>
        <v>0</v>
      </c>
      <c r="BI161" s="75"/>
      <c r="BJ161" s="75">
        <f t="shared" si="246"/>
        <v>0</v>
      </c>
      <c r="BK161" s="75">
        <f t="shared" si="250"/>
        <v>0</v>
      </c>
      <c r="BL161" s="75">
        <f t="shared" si="251"/>
        <v>0</v>
      </c>
      <c r="BM161" s="75">
        <f t="shared" si="252"/>
        <v>0</v>
      </c>
      <c r="BN161" s="75"/>
      <c r="BO161" s="75">
        <f t="shared" si="253"/>
        <v>0</v>
      </c>
      <c r="BP161" s="75">
        <f t="shared" si="254"/>
        <v>0</v>
      </c>
      <c r="BQ161" s="75">
        <f t="shared" si="255"/>
        <v>0</v>
      </c>
      <c r="BR161" s="75">
        <f t="shared" si="256"/>
        <v>0</v>
      </c>
      <c r="BS161" s="75">
        <f t="shared" si="257"/>
        <v>0</v>
      </c>
      <c r="BT161" s="75">
        <f t="shared" si="258"/>
        <v>0</v>
      </c>
      <c r="BU161" s="75">
        <f t="shared" si="259"/>
        <v>0</v>
      </c>
      <c r="BV161" s="75">
        <f t="shared" si="260"/>
        <v>0</v>
      </c>
      <c r="BW161" s="75">
        <f t="shared" si="261"/>
        <v>0</v>
      </c>
      <c r="BX161" s="75"/>
      <c r="BY161" s="75">
        <f t="shared" si="262"/>
        <v>0</v>
      </c>
      <c r="BZ161" s="75">
        <f t="shared" si="263"/>
        <v>4474760</v>
      </c>
      <c r="CA161" s="25">
        <f t="shared" si="244"/>
        <v>0.44065500000000002</v>
      </c>
      <c r="CB161" s="75">
        <f t="shared" si="283"/>
        <v>3525240</v>
      </c>
      <c r="CC161" s="75"/>
      <c r="CD161" s="75"/>
      <c r="CE161" s="75"/>
      <c r="CF161" s="75"/>
      <c r="CG161" s="75"/>
      <c r="CH161" s="75"/>
      <c r="CI161" s="75"/>
      <c r="CJ161" s="75"/>
      <c r="CK161" s="75"/>
      <c r="CL161" s="75"/>
      <c r="CM161" s="75"/>
      <c r="CN161" s="75"/>
      <c r="CO161" s="75"/>
      <c r="CP161" s="75"/>
      <c r="CQ161" s="75"/>
      <c r="CR161" s="75"/>
      <c r="CS161" s="75"/>
      <c r="CT161" s="75"/>
      <c r="CU161" s="75"/>
      <c r="CV161" s="75">
        <f>+'[5]FEBRERO 2015'!$H$228</f>
        <v>3525240</v>
      </c>
      <c r="CW161" s="25">
        <f t="shared" si="245"/>
        <v>0.55934499999999998</v>
      </c>
      <c r="CX161" s="75">
        <f t="shared" si="284"/>
        <v>4474760</v>
      </c>
      <c r="CY161" s="75"/>
      <c r="CZ161" s="75"/>
      <c r="DA161" s="75"/>
      <c r="DB161" s="75">
        <f t="shared" si="247"/>
        <v>0</v>
      </c>
      <c r="DC161" s="75">
        <f t="shared" si="264"/>
        <v>0</v>
      </c>
      <c r="DD161" s="75">
        <f t="shared" si="265"/>
        <v>0</v>
      </c>
      <c r="DE161" s="75">
        <f t="shared" si="266"/>
        <v>0</v>
      </c>
      <c r="DF161" s="75"/>
      <c r="DG161" s="75">
        <f t="shared" si="267"/>
        <v>0</v>
      </c>
      <c r="DH161" s="75">
        <f t="shared" si="268"/>
        <v>0</v>
      </c>
      <c r="DI161" s="75"/>
      <c r="DJ161" s="75">
        <f t="shared" si="269"/>
        <v>0</v>
      </c>
      <c r="DK161" s="75">
        <f t="shared" si="270"/>
        <v>0</v>
      </c>
      <c r="DL161" s="75">
        <f t="shared" si="271"/>
        <v>0</v>
      </c>
      <c r="DM161" s="75">
        <f t="shared" si="272"/>
        <v>0</v>
      </c>
      <c r="DN161" s="75">
        <f t="shared" si="273"/>
        <v>0</v>
      </c>
      <c r="DO161" s="75">
        <f t="shared" si="274"/>
        <v>0</v>
      </c>
      <c r="DP161" s="75">
        <f t="shared" si="275"/>
        <v>0</v>
      </c>
      <c r="DQ161" s="75">
        <f t="shared" si="277"/>
        <v>0</v>
      </c>
      <c r="DR161" s="75">
        <f t="shared" si="276"/>
        <v>4474760</v>
      </c>
    </row>
    <row r="162" spans="1:122" ht="29.25" hidden="1" customHeight="1" x14ac:dyDescent="0.3">
      <c r="A162" s="246"/>
      <c r="B162" s="271"/>
      <c r="C162" s="272" t="s">
        <v>73</v>
      </c>
      <c r="D162" s="272" t="s">
        <v>72</v>
      </c>
      <c r="E162" s="273">
        <v>211</v>
      </c>
      <c r="F162" s="181" t="s">
        <v>12</v>
      </c>
      <c r="G162" s="228"/>
      <c r="H162" s="79">
        <f t="shared" si="278"/>
        <v>216712707</v>
      </c>
      <c r="I162" s="79">
        <f t="shared" si="279"/>
        <v>98817745</v>
      </c>
      <c r="J162" s="78"/>
      <c r="K162" s="78"/>
      <c r="L162" s="78"/>
      <c r="M162" s="75">
        <f t="shared" si="280"/>
        <v>315530452</v>
      </c>
      <c r="N162" s="45"/>
      <c r="O162" s="45"/>
      <c r="P162" s="45"/>
      <c r="Q162" s="75">
        <v>80000000</v>
      </c>
      <c r="R162" s="45"/>
      <c r="S162" s="75">
        <v>210000000</v>
      </c>
      <c r="T162" s="75"/>
      <c r="U162" s="75"/>
      <c r="V162" s="75"/>
      <c r="W162" s="75"/>
      <c r="X162" s="75"/>
      <c r="Y162" s="75"/>
      <c r="Z162" s="75"/>
      <c r="AA162" s="75"/>
      <c r="AB162" s="75"/>
      <c r="AC162" s="75">
        <v>25530452</v>
      </c>
      <c r="AD162" s="75"/>
      <c r="AE162" s="75"/>
      <c r="AF162" s="75"/>
      <c r="AG162" s="75"/>
      <c r="AH162" s="75"/>
      <c r="AI162" s="25">
        <f t="shared" si="242"/>
        <v>0.74645870313652007</v>
      </c>
      <c r="AJ162" s="75">
        <f t="shared" si="281"/>
        <v>235530452</v>
      </c>
      <c r="AK162" s="75"/>
      <c r="AL162" s="75"/>
      <c r="AM162" s="75"/>
      <c r="AN162" s="75"/>
      <c r="AO162" s="75"/>
      <c r="AP162" s="75">
        <f>+'[6]JUNIO 2015'!$O$297</f>
        <v>210000000</v>
      </c>
      <c r="AQ162" s="75"/>
      <c r="AR162" s="75"/>
      <c r="AS162" s="75"/>
      <c r="AT162" s="75"/>
      <c r="AU162" s="75"/>
      <c r="AV162" s="75"/>
      <c r="AW162" s="75"/>
      <c r="AX162" s="75"/>
      <c r="AY162" s="75"/>
      <c r="AZ162" s="75">
        <f>+'[6]JUNIO 2015'!$Y$297</f>
        <v>25530452</v>
      </c>
      <c r="BA162" s="75"/>
      <c r="BB162" s="75"/>
      <c r="BC162" s="75"/>
      <c r="BD162" s="75"/>
      <c r="BE162" s="25">
        <f t="shared" si="243"/>
        <v>0.25354129686347993</v>
      </c>
      <c r="BF162" s="75">
        <f t="shared" si="282"/>
        <v>80000000</v>
      </c>
      <c r="BG162" s="75">
        <f t="shared" si="248"/>
        <v>0</v>
      </c>
      <c r="BH162" s="75">
        <f t="shared" si="249"/>
        <v>0</v>
      </c>
      <c r="BI162" s="75"/>
      <c r="BJ162" s="75">
        <f t="shared" si="246"/>
        <v>80000000</v>
      </c>
      <c r="BK162" s="75">
        <f t="shared" si="250"/>
        <v>0</v>
      </c>
      <c r="BL162" s="75">
        <f t="shared" si="251"/>
        <v>0</v>
      </c>
      <c r="BM162" s="75">
        <f t="shared" si="252"/>
        <v>0</v>
      </c>
      <c r="BN162" s="75"/>
      <c r="BO162" s="75">
        <f t="shared" si="253"/>
        <v>0</v>
      </c>
      <c r="BP162" s="75">
        <f t="shared" si="254"/>
        <v>0</v>
      </c>
      <c r="BQ162" s="75">
        <f t="shared" si="255"/>
        <v>0</v>
      </c>
      <c r="BR162" s="75">
        <f t="shared" si="256"/>
        <v>0</v>
      </c>
      <c r="BS162" s="75">
        <f t="shared" si="257"/>
        <v>0</v>
      </c>
      <c r="BT162" s="75">
        <f t="shared" si="258"/>
        <v>0</v>
      </c>
      <c r="BU162" s="75">
        <f t="shared" si="259"/>
        <v>0</v>
      </c>
      <c r="BV162" s="75">
        <f t="shared" si="260"/>
        <v>0</v>
      </c>
      <c r="BW162" s="75">
        <f t="shared" si="261"/>
        <v>0</v>
      </c>
      <c r="BX162" s="75"/>
      <c r="BY162" s="75">
        <f t="shared" si="262"/>
        <v>0</v>
      </c>
      <c r="BZ162" s="75">
        <f t="shared" si="263"/>
        <v>0</v>
      </c>
      <c r="CA162" s="25">
        <f t="shared" si="244"/>
        <v>0.68682025974469174</v>
      </c>
      <c r="CB162" s="75">
        <f t="shared" si="283"/>
        <v>216712707</v>
      </c>
      <c r="CC162" s="75"/>
      <c r="CD162" s="75"/>
      <c r="CE162" s="75"/>
      <c r="CF162" s="75"/>
      <c r="CG162" s="75"/>
      <c r="CH162" s="75">
        <f>+'[2]JULIO 2015'!$H$332+'[2]JULIO 2015'!$H$347</f>
        <v>208736238</v>
      </c>
      <c r="CI162" s="75"/>
      <c r="CJ162" s="75"/>
      <c r="CK162" s="75"/>
      <c r="CL162" s="75"/>
      <c r="CM162" s="75"/>
      <c r="CN162" s="75"/>
      <c r="CO162" s="75"/>
      <c r="CP162" s="75"/>
      <c r="CQ162" s="75"/>
      <c r="CR162" s="75">
        <f>+'[2]JULIO 2015'!$H$358</f>
        <v>7976469</v>
      </c>
      <c r="CS162" s="75"/>
      <c r="CT162" s="75"/>
      <c r="CU162" s="75"/>
      <c r="CV162" s="75"/>
      <c r="CW162" s="25">
        <f t="shared" si="245"/>
        <v>0.31317974025530826</v>
      </c>
      <c r="CX162" s="75">
        <f t="shared" si="284"/>
        <v>98817745</v>
      </c>
      <c r="CY162" s="75"/>
      <c r="CZ162" s="75"/>
      <c r="DA162" s="75"/>
      <c r="DB162" s="75">
        <f t="shared" si="247"/>
        <v>80000000</v>
      </c>
      <c r="DC162" s="75">
        <f t="shared" si="264"/>
        <v>0</v>
      </c>
      <c r="DD162" s="75">
        <f t="shared" si="265"/>
        <v>1263762</v>
      </c>
      <c r="DE162" s="75">
        <f t="shared" si="266"/>
        <v>0</v>
      </c>
      <c r="DF162" s="75"/>
      <c r="DG162" s="75">
        <f t="shared" si="267"/>
        <v>0</v>
      </c>
      <c r="DH162" s="75">
        <f t="shared" si="268"/>
        <v>0</v>
      </c>
      <c r="DI162" s="75"/>
      <c r="DJ162" s="75">
        <f t="shared" si="269"/>
        <v>0</v>
      </c>
      <c r="DK162" s="75">
        <f t="shared" si="270"/>
        <v>0</v>
      </c>
      <c r="DL162" s="75">
        <f t="shared" si="271"/>
        <v>0</v>
      </c>
      <c r="DM162" s="75">
        <f t="shared" si="272"/>
        <v>0</v>
      </c>
      <c r="DN162" s="75">
        <f t="shared" si="273"/>
        <v>17553983</v>
      </c>
      <c r="DO162" s="75">
        <f t="shared" si="274"/>
        <v>0</v>
      </c>
      <c r="DP162" s="75">
        <f t="shared" si="275"/>
        <v>0</v>
      </c>
      <c r="DQ162" s="75">
        <f t="shared" si="277"/>
        <v>0</v>
      </c>
      <c r="DR162" s="75">
        <f t="shared" si="276"/>
        <v>0</v>
      </c>
    </row>
    <row r="163" spans="1:122" ht="35.25" hidden="1" customHeight="1" x14ac:dyDescent="0.3">
      <c r="A163" s="246"/>
      <c r="B163" s="271"/>
      <c r="C163" s="272" t="s">
        <v>71</v>
      </c>
      <c r="D163" s="272" t="s">
        <v>70</v>
      </c>
      <c r="E163" s="273">
        <v>211</v>
      </c>
      <c r="F163" s="181" t="s">
        <v>69</v>
      </c>
      <c r="G163" s="228"/>
      <c r="H163" s="79">
        <f t="shared" si="278"/>
        <v>0</v>
      </c>
      <c r="I163" s="79">
        <f t="shared" si="279"/>
        <v>5000000</v>
      </c>
      <c r="J163" s="78"/>
      <c r="K163" s="78"/>
      <c r="L163" s="78"/>
      <c r="M163" s="75">
        <f t="shared" si="280"/>
        <v>5000000</v>
      </c>
      <c r="N163" s="45"/>
      <c r="O163" s="45"/>
      <c r="P163" s="45"/>
      <c r="Q163" s="45">
        <f>97849888-97849888</f>
        <v>0</v>
      </c>
      <c r="R163" s="45"/>
      <c r="S163" s="75"/>
      <c r="T163" s="75">
        <f>97849888-97849888</f>
        <v>0</v>
      </c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>
        <f>5000000</f>
        <v>5000000</v>
      </c>
      <c r="AH163" s="75"/>
      <c r="AI163" s="25">
        <f t="shared" si="242"/>
        <v>1</v>
      </c>
      <c r="AJ163" s="75">
        <f t="shared" si="281"/>
        <v>5000000</v>
      </c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>
        <f>+'[2]JULIO 2015'!$AD$363</f>
        <v>5000000</v>
      </c>
      <c r="BE163" s="25">
        <f t="shared" si="243"/>
        <v>0</v>
      </c>
      <c r="BF163" s="75">
        <f t="shared" si="282"/>
        <v>0</v>
      </c>
      <c r="BG163" s="75">
        <f t="shared" si="248"/>
        <v>0</v>
      </c>
      <c r="BH163" s="75">
        <f t="shared" si="249"/>
        <v>0</v>
      </c>
      <c r="BI163" s="75"/>
      <c r="BJ163" s="75">
        <f t="shared" si="246"/>
        <v>0</v>
      </c>
      <c r="BK163" s="75">
        <f t="shared" si="250"/>
        <v>0</v>
      </c>
      <c r="BL163" s="75">
        <f t="shared" si="251"/>
        <v>0</v>
      </c>
      <c r="BM163" s="75">
        <f t="shared" si="252"/>
        <v>0</v>
      </c>
      <c r="BN163" s="75"/>
      <c r="BO163" s="75">
        <f t="shared" si="253"/>
        <v>0</v>
      </c>
      <c r="BP163" s="75">
        <f t="shared" si="254"/>
        <v>0</v>
      </c>
      <c r="BQ163" s="75">
        <f t="shared" si="255"/>
        <v>0</v>
      </c>
      <c r="BR163" s="75">
        <f t="shared" si="256"/>
        <v>0</v>
      </c>
      <c r="BS163" s="75">
        <f t="shared" si="257"/>
        <v>0</v>
      </c>
      <c r="BT163" s="75">
        <f t="shared" si="258"/>
        <v>0</v>
      </c>
      <c r="BU163" s="75">
        <f t="shared" si="259"/>
        <v>0</v>
      </c>
      <c r="BV163" s="75">
        <f t="shared" si="260"/>
        <v>0</v>
      </c>
      <c r="BW163" s="75">
        <f t="shared" si="261"/>
        <v>0</v>
      </c>
      <c r="BX163" s="75"/>
      <c r="BY163" s="75">
        <f t="shared" si="262"/>
        <v>0</v>
      </c>
      <c r="BZ163" s="75">
        <f t="shared" si="263"/>
        <v>0</v>
      </c>
      <c r="CA163" s="25">
        <f t="shared" si="244"/>
        <v>0</v>
      </c>
      <c r="CB163" s="75">
        <f t="shared" si="283"/>
        <v>0</v>
      </c>
      <c r="CC163" s="75"/>
      <c r="CD163" s="75"/>
      <c r="CE163" s="75"/>
      <c r="CF163" s="75"/>
      <c r="CG163" s="75"/>
      <c r="CH163" s="75"/>
      <c r="CI163" s="75"/>
      <c r="CJ163" s="75"/>
      <c r="CK163" s="75"/>
      <c r="CL163" s="75"/>
      <c r="CM163" s="75"/>
      <c r="CN163" s="75"/>
      <c r="CO163" s="75"/>
      <c r="CP163" s="75"/>
      <c r="CQ163" s="75"/>
      <c r="CR163" s="75"/>
      <c r="CS163" s="75"/>
      <c r="CT163" s="75"/>
      <c r="CU163" s="75"/>
      <c r="CV163" s="75"/>
      <c r="CW163" s="25">
        <f t="shared" si="245"/>
        <v>1</v>
      </c>
      <c r="CX163" s="75">
        <f t="shared" si="284"/>
        <v>5000000</v>
      </c>
      <c r="CY163" s="75"/>
      <c r="CZ163" s="75"/>
      <c r="DA163" s="75"/>
      <c r="DB163" s="75">
        <f t="shared" si="247"/>
        <v>0</v>
      </c>
      <c r="DC163" s="75">
        <f t="shared" si="264"/>
        <v>0</v>
      </c>
      <c r="DD163" s="75">
        <f t="shared" si="265"/>
        <v>0</v>
      </c>
      <c r="DE163" s="75">
        <f t="shared" si="266"/>
        <v>0</v>
      </c>
      <c r="DF163" s="75"/>
      <c r="DG163" s="75">
        <f t="shared" si="267"/>
        <v>0</v>
      </c>
      <c r="DH163" s="75">
        <f t="shared" si="268"/>
        <v>0</v>
      </c>
      <c r="DI163" s="75"/>
      <c r="DJ163" s="75">
        <f t="shared" si="269"/>
        <v>0</v>
      </c>
      <c r="DK163" s="75">
        <f t="shared" si="270"/>
        <v>0</v>
      </c>
      <c r="DL163" s="75">
        <f t="shared" si="271"/>
        <v>0</v>
      </c>
      <c r="DM163" s="75">
        <f t="shared" si="272"/>
        <v>0</v>
      </c>
      <c r="DN163" s="75">
        <f t="shared" si="273"/>
        <v>0</v>
      </c>
      <c r="DO163" s="75">
        <f t="shared" si="274"/>
        <v>0</v>
      </c>
      <c r="DP163" s="75">
        <f t="shared" si="275"/>
        <v>0</v>
      </c>
      <c r="DQ163" s="75">
        <f t="shared" si="277"/>
        <v>0</v>
      </c>
      <c r="DR163" s="75">
        <f t="shared" si="276"/>
        <v>5000000</v>
      </c>
    </row>
    <row r="164" spans="1:122" ht="51.75" hidden="1" customHeight="1" x14ac:dyDescent="0.3">
      <c r="A164" s="246"/>
      <c r="B164" s="271"/>
      <c r="C164" s="272" t="s">
        <v>68</v>
      </c>
      <c r="D164" s="272" t="s">
        <v>67</v>
      </c>
      <c r="E164" s="273">
        <v>211</v>
      </c>
      <c r="F164" s="181" t="s">
        <v>66</v>
      </c>
      <c r="G164" s="228"/>
      <c r="H164" s="79">
        <f t="shared" si="278"/>
        <v>12240044</v>
      </c>
      <c r="I164" s="79">
        <f t="shared" si="279"/>
        <v>28910068</v>
      </c>
      <c r="J164" s="78"/>
      <c r="K164" s="78"/>
      <c r="L164" s="78"/>
      <c r="M164" s="75">
        <f t="shared" si="280"/>
        <v>41150112</v>
      </c>
      <c r="N164" s="4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>
        <f>8134775+1015337+11000000+21000000</f>
        <v>41150112</v>
      </c>
      <c r="AH164" s="75"/>
      <c r="AI164" s="25">
        <f t="shared" si="242"/>
        <v>0.56256315900185161</v>
      </c>
      <c r="AJ164" s="75">
        <f t="shared" si="281"/>
        <v>23149537</v>
      </c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>
        <f>+'[2]JULIO 2015'!$AD$368</f>
        <v>23149537</v>
      </c>
      <c r="BE164" s="25">
        <f t="shared" si="243"/>
        <v>0.43743684099814839</v>
      </c>
      <c r="BF164" s="75">
        <f t="shared" si="282"/>
        <v>18000575</v>
      </c>
      <c r="BG164" s="75">
        <f t="shared" si="248"/>
        <v>0</v>
      </c>
      <c r="BH164" s="75">
        <f t="shared" si="249"/>
        <v>0</v>
      </c>
      <c r="BI164" s="75"/>
      <c r="BJ164" s="75">
        <f t="shared" si="246"/>
        <v>0</v>
      </c>
      <c r="BK164" s="75">
        <f t="shared" si="250"/>
        <v>0</v>
      </c>
      <c r="BL164" s="75">
        <f t="shared" si="251"/>
        <v>0</v>
      </c>
      <c r="BM164" s="75">
        <f t="shared" si="252"/>
        <v>0</v>
      </c>
      <c r="BN164" s="75"/>
      <c r="BO164" s="75">
        <f t="shared" si="253"/>
        <v>0</v>
      </c>
      <c r="BP164" s="75">
        <f t="shared" si="254"/>
        <v>0</v>
      </c>
      <c r="BQ164" s="75">
        <f t="shared" si="255"/>
        <v>0</v>
      </c>
      <c r="BR164" s="75">
        <f t="shared" si="256"/>
        <v>0</v>
      </c>
      <c r="BS164" s="75">
        <f t="shared" si="257"/>
        <v>0</v>
      </c>
      <c r="BT164" s="75">
        <f t="shared" si="258"/>
        <v>0</v>
      </c>
      <c r="BU164" s="75">
        <f t="shared" si="259"/>
        <v>0</v>
      </c>
      <c r="BV164" s="75">
        <f t="shared" si="260"/>
        <v>0</v>
      </c>
      <c r="BW164" s="75">
        <f t="shared" si="261"/>
        <v>0</v>
      </c>
      <c r="BX164" s="75"/>
      <c r="BY164" s="75">
        <f t="shared" si="262"/>
        <v>0</v>
      </c>
      <c r="BZ164" s="75">
        <f t="shared" si="263"/>
        <v>18000575</v>
      </c>
      <c r="CA164" s="25">
        <f t="shared" si="244"/>
        <v>0.29744861933790118</v>
      </c>
      <c r="CB164" s="75">
        <f t="shared" si="283"/>
        <v>12240044</v>
      </c>
      <c r="CC164" s="75"/>
      <c r="CD164" s="75"/>
      <c r="CE164" s="75"/>
      <c r="CF164" s="75"/>
      <c r="CG164" s="75"/>
      <c r="CH164" s="75"/>
      <c r="CI164" s="75"/>
      <c r="CJ164" s="75"/>
      <c r="CK164" s="75"/>
      <c r="CL164" s="75"/>
      <c r="CM164" s="75"/>
      <c r="CN164" s="75"/>
      <c r="CO164" s="75"/>
      <c r="CP164" s="75"/>
      <c r="CQ164" s="75"/>
      <c r="CR164" s="75"/>
      <c r="CS164" s="75"/>
      <c r="CT164" s="75"/>
      <c r="CU164" s="75"/>
      <c r="CV164" s="75">
        <f>+'[1]AGOSTO 2015'!$H$383</f>
        <v>12240044</v>
      </c>
      <c r="CW164" s="25">
        <f t="shared" si="245"/>
        <v>0.70255138066209888</v>
      </c>
      <c r="CX164" s="75">
        <f t="shared" si="284"/>
        <v>28910068</v>
      </c>
      <c r="CY164" s="75"/>
      <c r="CZ164" s="75"/>
      <c r="DA164" s="75"/>
      <c r="DB164" s="75">
        <f t="shared" si="247"/>
        <v>0</v>
      </c>
      <c r="DC164" s="75">
        <f t="shared" si="264"/>
        <v>0</v>
      </c>
      <c r="DD164" s="75">
        <f t="shared" si="265"/>
        <v>0</v>
      </c>
      <c r="DE164" s="75">
        <f t="shared" si="266"/>
        <v>0</v>
      </c>
      <c r="DF164" s="75"/>
      <c r="DG164" s="75">
        <f t="shared" si="267"/>
        <v>0</v>
      </c>
      <c r="DH164" s="75">
        <f t="shared" si="268"/>
        <v>0</v>
      </c>
      <c r="DI164" s="75"/>
      <c r="DJ164" s="75">
        <f t="shared" si="269"/>
        <v>0</v>
      </c>
      <c r="DK164" s="75">
        <f t="shared" si="270"/>
        <v>0</v>
      </c>
      <c r="DL164" s="75">
        <f t="shared" si="271"/>
        <v>0</v>
      </c>
      <c r="DM164" s="75">
        <f t="shared" si="272"/>
        <v>0</v>
      </c>
      <c r="DN164" s="75">
        <f t="shared" si="273"/>
        <v>0</v>
      </c>
      <c r="DO164" s="75">
        <f t="shared" si="274"/>
        <v>0</v>
      </c>
      <c r="DP164" s="75">
        <f t="shared" si="275"/>
        <v>0</v>
      </c>
      <c r="DQ164" s="75">
        <f t="shared" si="277"/>
        <v>0</v>
      </c>
      <c r="DR164" s="75">
        <f t="shared" si="276"/>
        <v>28910068</v>
      </c>
    </row>
    <row r="165" spans="1:122" ht="36.75" hidden="1" customHeight="1" x14ac:dyDescent="0.3">
      <c r="A165" s="246"/>
      <c r="B165" s="271"/>
      <c r="C165" s="272" t="s">
        <v>65</v>
      </c>
      <c r="D165" s="272" t="s">
        <v>64</v>
      </c>
      <c r="E165" s="273">
        <v>211</v>
      </c>
      <c r="F165" s="181" t="s">
        <v>12</v>
      </c>
      <c r="G165" s="228"/>
      <c r="H165" s="79">
        <f t="shared" si="278"/>
        <v>0</v>
      </c>
      <c r="I165" s="79">
        <f t="shared" si="279"/>
        <v>92524043</v>
      </c>
      <c r="J165" s="78"/>
      <c r="K165" s="78"/>
      <c r="L165" s="78"/>
      <c r="M165" s="75">
        <f t="shared" si="280"/>
        <v>92524043</v>
      </c>
      <c r="N165" s="4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>
        <v>92524043</v>
      </c>
      <c r="AG165" s="75"/>
      <c r="AH165" s="75"/>
      <c r="AI165" s="25">
        <f t="shared" si="242"/>
        <v>1</v>
      </c>
      <c r="AJ165" s="75">
        <f t="shared" si="281"/>
        <v>92524043</v>
      </c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>
        <f>+'[1]AGOSTO 2015'!$AC$401</f>
        <v>92524043</v>
      </c>
      <c r="BD165" s="75"/>
      <c r="BE165" s="25">
        <f t="shared" si="243"/>
        <v>0</v>
      </c>
      <c r="BF165" s="75">
        <f t="shared" si="282"/>
        <v>0</v>
      </c>
      <c r="BG165" s="75">
        <f t="shared" si="248"/>
        <v>0</v>
      </c>
      <c r="BH165" s="75">
        <f t="shared" si="249"/>
        <v>0</v>
      </c>
      <c r="BI165" s="75"/>
      <c r="BJ165" s="75">
        <f t="shared" si="246"/>
        <v>0</v>
      </c>
      <c r="BK165" s="75">
        <f t="shared" si="250"/>
        <v>0</v>
      </c>
      <c r="BL165" s="75">
        <f t="shared" si="251"/>
        <v>0</v>
      </c>
      <c r="BM165" s="75">
        <f t="shared" si="252"/>
        <v>0</v>
      </c>
      <c r="BN165" s="75"/>
      <c r="BO165" s="75">
        <f t="shared" si="253"/>
        <v>0</v>
      </c>
      <c r="BP165" s="75">
        <f t="shared" si="254"/>
        <v>0</v>
      </c>
      <c r="BQ165" s="75">
        <f t="shared" si="255"/>
        <v>0</v>
      </c>
      <c r="BR165" s="75">
        <f t="shared" si="256"/>
        <v>0</v>
      </c>
      <c r="BS165" s="75">
        <f t="shared" si="257"/>
        <v>0</v>
      </c>
      <c r="BT165" s="75">
        <f t="shared" si="258"/>
        <v>0</v>
      </c>
      <c r="BU165" s="75">
        <f t="shared" si="259"/>
        <v>0</v>
      </c>
      <c r="BV165" s="75">
        <f t="shared" si="260"/>
        <v>0</v>
      </c>
      <c r="BW165" s="75">
        <f t="shared" si="261"/>
        <v>0</v>
      </c>
      <c r="BX165" s="75"/>
      <c r="BY165" s="75">
        <f t="shared" si="262"/>
        <v>0</v>
      </c>
      <c r="BZ165" s="75">
        <f t="shared" si="263"/>
        <v>0</v>
      </c>
      <c r="CA165" s="25">
        <f t="shared" si="244"/>
        <v>0</v>
      </c>
      <c r="CB165" s="75">
        <f t="shared" si="283"/>
        <v>0</v>
      </c>
      <c r="CC165" s="75"/>
      <c r="CD165" s="75"/>
      <c r="CE165" s="75"/>
      <c r="CF165" s="75"/>
      <c r="CG165" s="75"/>
      <c r="CH165" s="75"/>
      <c r="CI165" s="75"/>
      <c r="CJ165" s="75"/>
      <c r="CK165" s="75"/>
      <c r="CL165" s="75"/>
      <c r="CM165" s="75"/>
      <c r="CN165" s="75"/>
      <c r="CO165" s="75"/>
      <c r="CP165" s="75"/>
      <c r="CQ165" s="75"/>
      <c r="CR165" s="75"/>
      <c r="CS165" s="75"/>
      <c r="CT165" s="75"/>
      <c r="CU165" s="75"/>
      <c r="CV165" s="75"/>
      <c r="CW165" s="25">
        <f t="shared" si="245"/>
        <v>1</v>
      </c>
      <c r="CX165" s="75">
        <f t="shared" si="284"/>
        <v>92524043</v>
      </c>
      <c r="CY165" s="75"/>
      <c r="CZ165" s="75"/>
      <c r="DA165" s="75"/>
      <c r="DB165" s="75">
        <f t="shared" si="247"/>
        <v>0</v>
      </c>
      <c r="DC165" s="75">
        <f t="shared" si="264"/>
        <v>0</v>
      </c>
      <c r="DD165" s="75">
        <f t="shared" si="265"/>
        <v>0</v>
      </c>
      <c r="DE165" s="75">
        <f t="shared" si="266"/>
        <v>0</v>
      </c>
      <c r="DF165" s="75"/>
      <c r="DG165" s="75">
        <f t="shared" si="267"/>
        <v>0</v>
      </c>
      <c r="DH165" s="75">
        <f t="shared" si="268"/>
        <v>0</v>
      </c>
      <c r="DI165" s="75"/>
      <c r="DJ165" s="75">
        <f t="shared" si="269"/>
        <v>0</v>
      </c>
      <c r="DK165" s="75">
        <f t="shared" si="270"/>
        <v>0</v>
      </c>
      <c r="DL165" s="75">
        <f t="shared" si="271"/>
        <v>0</v>
      </c>
      <c r="DM165" s="75">
        <f t="shared" si="272"/>
        <v>0</v>
      </c>
      <c r="DN165" s="75">
        <f t="shared" si="273"/>
        <v>0</v>
      </c>
      <c r="DO165" s="75">
        <f t="shared" si="274"/>
        <v>0</v>
      </c>
      <c r="DP165" s="75">
        <f t="shared" si="275"/>
        <v>0</v>
      </c>
      <c r="DQ165" s="75">
        <f t="shared" si="277"/>
        <v>92524043</v>
      </c>
      <c r="DR165" s="75">
        <f t="shared" si="276"/>
        <v>0</v>
      </c>
    </row>
    <row r="166" spans="1:122" ht="22.5" hidden="1" customHeight="1" x14ac:dyDescent="0.3">
      <c r="A166" s="246"/>
      <c r="B166" s="271"/>
      <c r="C166" s="272" t="s">
        <v>63</v>
      </c>
      <c r="D166" s="272" t="s">
        <v>62</v>
      </c>
      <c r="E166" s="273">
        <v>211</v>
      </c>
      <c r="F166" s="181" t="s">
        <v>12</v>
      </c>
      <c r="G166" s="228"/>
      <c r="H166" s="79">
        <f t="shared" si="278"/>
        <v>0</v>
      </c>
      <c r="I166" s="79">
        <f t="shared" si="279"/>
        <v>0</v>
      </c>
      <c r="J166" s="78"/>
      <c r="K166" s="78"/>
      <c r="L166" s="78"/>
      <c r="M166" s="75">
        <f t="shared" si="280"/>
        <v>0</v>
      </c>
      <c r="N166" s="45"/>
      <c r="O166" s="75"/>
      <c r="P166" s="75"/>
      <c r="Q166" s="75">
        <f>31000000-31000000</f>
        <v>0</v>
      </c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25" t="e">
        <f t="shared" si="242"/>
        <v>#DIV/0!</v>
      </c>
      <c r="AJ166" s="75">
        <f t="shared" si="281"/>
        <v>0</v>
      </c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25" t="e">
        <f t="shared" si="243"/>
        <v>#DIV/0!</v>
      </c>
      <c r="BF166" s="75">
        <f t="shared" si="282"/>
        <v>0</v>
      </c>
      <c r="BG166" s="75"/>
      <c r="BH166" s="75"/>
      <c r="BI166" s="75"/>
      <c r="BJ166" s="75">
        <f t="shared" si="246"/>
        <v>0</v>
      </c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25" t="e">
        <f t="shared" si="244"/>
        <v>#DIV/0!</v>
      </c>
      <c r="CB166" s="75">
        <f t="shared" si="283"/>
        <v>0</v>
      </c>
      <c r="CC166" s="75"/>
      <c r="CD166" s="75"/>
      <c r="CE166" s="75"/>
      <c r="CF166" s="75"/>
      <c r="CG166" s="75"/>
      <c r="CH166" s="75"/>
      <c r="CI166" s="75"/>
      <c r="CJ166" s="75"/>
      <c r="CK166" s="75"/>
      <c r="CL166" s="75"/>
      <c r="CM166" s="75"/>
      <c r="CN166" s="75"/>
      <c r="CO166" s="75"/>
      <c r="CP166" s="75"/>
      <c r="CQ166" s="75"/>
      <c r="CR166" s="75"/>
      <c r="CS166" s="75"/>
      <c r="CT166" s="75"/>
      <c r="CU166" s="75"/>
      <c r="CV166" s="75"/>
      <c r="CW166" s="25" t="e">
        <f t="shared" si="245"/>
        <v>#DIV/0!</v>
      </c>
      <c r="CX166" s="75">
        <f t="shared" si="284"/>
        <v>0</v>
      </c>
      <c r="CY166" s="75"/>
      <c r="CZ166" s="75"/>
      <c r="DA166" s="75"/>
      <c r="DB166" s="75">
        <f t="shared" si="247"/>
        <v>0</v>
      </c>
      <c r="DC166" s="75"/>
      <c r="DD166" s="75"/>
      <c r="DE166" s="75"/>
      <c r="DF166" s="75"/>
      <c r="DG166" s="75"/>
      <c r="DH166" s="75"/>
      <c r="DI166" s="75"/>
      <c r="DJ166" s="75"/>
      <c r="DK166" s="75"/>
      <c r="DL166" s="75"/>
      <c r="DM166" s="75"/>
      <c r="DN166" s="75"/>
      <c r="DO166" s="75"/>
      <c r="DP166" s="75"/>
      <c r="DQ166" s="75"/>
      <c r="DR166" s="75"/>
    </row>
    <row r="167" spans="1:122" ht="24.75" hidden="1" customHeight="1" x14ac:dyDescent="0.3">
      <c r="A167" s="246"/>
      <c r="B167" s="271"/>
      <c r="C167" s="272" t="s">
        <v>61</v>
      </c>
      <c r="D167" s="272" t="s">
        <v>60</v>
      </c>
      <c r="E167" s="273">
        <v>211</v>
      </c>
      <c r="F167" s="181" t="s">
        <v>12</v>
      </c>
      <c r="G167" s="228"/>
      <c r="H167" s="79">
        <f t="shared" si="278"/>
        <v>0</v>
      </c>
      <c r="I167" s="79">
        <f t="shared" si="279"/>
        <v>0</v>
      </c>
      <c r="J167" s="78"/>
      <c r="K167" s="78"/>
      <c r="L167" s="78"/>
      <c r="M167" s="75">
        <f t="shared" si="280"/>
        <v>0</v>
      </c>
      <c r="N167" s="45"/>
      <c r="O167" s="75"/>
      <c r="P167" s="75"/>
      <c r="Q167" s="75">
        <f>100000000-100000000</f>
        <v>0</v>
      </c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25" t="e">
        <f t="shared" si="242"/>
        <v>#DIV/0!</v>
      </c>
      <c r="AJ167" s="75">
        <f t="shared" si="281"/>
        <v>0</v>
      </c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25" t="e">
        <f t="shared" si="243"/>
        <v>#DIV/0!</v>
      </c>
      <c r="BF167" s="75">
        <f t="shared" si="282"/>
        <v>0</v>
      </c>
      <c r="BG167" s="75"/>
      <c r="BH167" s="75"/>
      <c r="BI167" s="75"/>
      <c r="BJ167" s="75">
        <f t="shared" si="246"/>
        <v>0</v>
      </c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25" t="e">
        <f t="shared" si="244"/>
        <v>#DIV/0!</v>
      </c>
      <c r="CB167" s="75">
        <f t="shared" si="283"/>
        <v>0</v>
      </c>
      <c r="CC167" s="75"/>
      <c r="CD167" s="75"/>
      <c r="CE167" s="75"/>
      <c r="CF167" s="75"/>
      <c r="CG167" s="75"/>
      <c r="CH167" s="75"/>
      <c r="CI167" s="75"/>
      <c r="CJ167" s="75"/>
      <c r="CK167" s="75"/>
      <c r="CL167" s="75"/>
      <c r="CM167" s="75"/>
      <c r="CN167" s="75"/>
      <c r="CO167" s="75"/>
      <c r="CP167" s="75"/>
      <c r="CQ167" s="75"/>
      <c r="CR167" s="75"/>
      <c r="CS167" s="75"/>
      <c r="CT167" s="75"/>
      <c r="CU167" s="75"/>
      <c r="CV167" s="75"/>
      <c r="CW167" s="25" t="e">
        <f t="shared" si="245"/>
        <v>#DIV/0!</v>
      </c>
      <c r="CX167" s="75">
        <f t="shared" si="284"/>
        <v>0</v>
      </c>
      <c r="CY167" s="75"/>
      <c r="CZ167" s="75"/>
      <c r="DA167" s="75"/>
      <c r="DB167" s="75">
        <f t="shared" si="247"/>
        <v>0</v>
      </c>
      <c r="DC167" s="75"/>
      <c r="DD167" s="75"/>
      <c r="DE167" s="75"/>
      <c r="DF167" s="75"/>
      <c r="DG167" s="75"/>
      <c r="DH167" s="75"/>
      <c r="DI167" s="75"/>
      <c r="DJ167" s="75"/>
      <c r="DK167" s="75"/>
      <c r="DL167" s="75"/>
      <c r="DM167" s="75"/>
      <c r="DN167" s="75"/>
      <c r="DO167" s="75"/>
      <c r="DP167" s="75"/>
      <c r="DQ167" s="75"/>
      <c r="DR167" s="75"/>
    </row>
    <row r="168" spans="1:122" ht="24" hidden="1" customHeight="1" x14ac:dyDescent="0.3">
      <c r="A168" s="246"/>
      <c r="B168" s="271"/>
      <c r="C168" s="272" t="s">
        <v>59</v>
      </c>
      <c r="D168" s="272" t="s">
        <v>58</v>
      </c>
      <c r="E168" s="273">
        <v>211</v>
      </c>
      <c r="F168" s="181" t="s">
        <v>12</v>
      </c>
      <c r="G168" s="229"/>
      <c r="H168" s="79">
        <f t="shared" si="278"/>
        <v>0</v>
      </c>
      <c r="I168" s="79">
        <f t="shared" si="279"/>
        <v>290000000</v>
      </c>
      <c r="J168" s="78"/>
      <c r="K168" s="78"/>
      <c r="L168" s="78"/>
      <c r="M168" s="75">
        <f t="shared" si="280"/>
        <v>290000000</v>
      </c>
      <c r="N168" s="45"/>
      <c r="O168" s="75"/>
      <c r="P168" s="75"/>
      <c r="Q168" s="75">
        <f>1000000000-710000000</f>
        <v>290000000</v>
      </c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25"/>
      <c r="AJ168" s="75">
        <f t="shared" si="281"/>
        <v>0</v>
      </c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25"/>
      <c r="BF168" s="75">
        <f t="shared" si="282"/>
        <v>290000000</v>
      </c>
      <c r="BG168" s="75"/>
      <c r="BH168" s="75"/>
      <c r="BI168" s="75"/>
      <c r="BJ168" s="75">
        <f t="shared" si="246"/>
        <v>290000000</v>
      </c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25">
        <f t="shared" si="244"/>
        <v>0</v>
      </c>
      <c r="CB168" s="75">
        <f t="shared" si="283"/>
        <v>0</v>
      </c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25"/>
      <c r="CX168" s="75">
        <f t="shared" si="284"/>
        <v>290000000</v>
      </c>
      <c r="CY168" s="75"/>
      <c r="CZ168" s="75"/>
      <c r="DA168" s="75"/>
      <c r="DB168" s="75">
        <f t="shared" si="247"/>
        <v>290000000</v>
      </c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</row>
    <row r="169" spans="1:122" ht="32.25" hidden="1" customHeight="1" x14ac:dyDescent="0.3">
      <c r="A169" s="246"/>
      <c r="B169" s="271" t="s">
        <v>57</v>
      </c>
      <c r="C169" s="272" t="s">
        <v>56</v>
      </c>
      <c r="D169" s="272" t="s">
        <v>55</v>
      </c>
      <c r="E169" s="273">
        <v>510</v>
      </c>
      <c r="F169" s="181" t="s">
        <v>39</v>
      </c>
      <c r="G169" s="227">
        <v>260000000</v>
      </c>
      <c r="H169" s="79">
        <f t="shared" si="278"/>
        <v>83465123</v>
      </c>
      <c r="I169" s="79">
        <f t="shared" si="279"/>
        <v>3034877</v>
      </c>
      <c r="J169" s="78"/>
      <c r="K169" s="78"/>
      <c r="L169" s="78"/>
      <c r="M169" s="75">
        <f t="shared" si="280"/>
        <v>86500000</v>
      </c>
      <c r="N169" s="45"/>
      <c r="O169" s="75"/>
      <c r="P169" s="75"/>
      <c r="Q169" s="75"/>
      <c r="R169" s="75"/>
      <c r="S169" s="75">
        <f>85000000-16000000+16000000</f>
        <v>85000000</v>
      </c>
      <c r="T169" s="75"/>
      <c r="U169" s="75"/>
      <c r="V169" s="75"/>
      <c r="W169" s="75"/>
      <c r="X169" s="75"/>
      <c r="Y169" s="75"/>
      <c r="Z169" s="75"/>
      <c r="AA169" s="75"/>
      <c r="AB169" s="75"/>
      <c r="AC169" s="75">
        <v>1500000</v>
      </c>
      <c r="AD169" s="75"/>
      <c r="AE169" s="75"/>
      <c r="AF169" s="75"/>
      <c r="AG169" s="75"/>
      <c r="AH169" s="75"/>
      <c r="AI169" s="25">
        <f t="shared" ref="AI169:AI187" si="285">+AJ169/M169</f>
        <v>1</v>
      </c>
      <c r="AJ169" s="75">
        <f t="shared" si="281"/>
        <v>86500000</v>
      </c>
      <c r="AK169" s="75"/>
      <c r="AL169" s="75"/>
      <c r="AM169" s="75"/>
      <c r="AN169" s="75"/>
      <c r="AO169" s="75"/>
      <c r="AP169" s="75">
        <f>+'[6]JUNIO 2015'!$O$1705</f>
        <v>85000000</v>
      </c>
      <c r="AQ169" s="75"/>
      <c r="AR169" s="75"/>
      <c r="AS169" s="75"/>
      <c r="AT169" s="75"/>
      <c r="AU169" s="75"/>
      <c r="AV169" s="75"/>
      <c r="AW169" s="75"/>
      <c r="AX169" s="75"/>
      <c r="AY169" s="75"/>
      <c r="AZ169" s="75">
        <f>+'[6]JUNIO 2015'!$Y$1705</f>
        <v>1500000</v>
      </c>
      <c r="BA169" s="75"/>
      <c r="BB169" s="75"/>
      <c r="BC169" s="75"/>
      <c r="BD169" s="75"/>
      <c r="BE169" s="25">
        <f t="shared" ref="BE169:BE187" si="286">1-AI169</f>
        <v>0</v>
      </c>
      <c r="BF169" s="75">
        <f t="shared" si="282"/>
        <v>0</v>
      </c>
      <c r="BG169" s="75">
        <f t="shared" ref="BG169:BG186" si="287">+N169-AK169</f>
        <v>0</v>
      </c>
      <c r="BH169" s="75">
        <f t="shared" ref="BH169:BH186" si="288">O169-AL169</f>
        <v>0</v>
      </c>
      <c r="BI169" s="75"/>
      <c r="BJ169" s="75">
        <f t="shared" si="246"/>
        <v>0</v>
      </c>
      <c r="BK169" s="75">
        <f t="shared" ref="BK169:BK186" si="289">R169-AO169</f>
        <v>0</v>
      </c>
      <c r="BL169" s="75">
        <f t="shared" ref="BL169:BL186" si="290">+S169-AP169</f>
        <v>0</v>
      </c>
      <c r="BM169" s="75">
        <f t="shared" ref="BM169:BM186" si="291">+T169-AQ169</f>
        <v>0</v>
      </c>
      <c r="BN169" s="75"/>
      <c r="BO169" s="75">
        <f t="shared" ref="BO169:BO186" si="292">+V169-AS169</f>
        <v>0</v>
      </c>
      <c r="BP169" s="75">
        <f t="shared" ref="BP169:BP186" si="293">+W169-AT169</f>
        <v>0</v>
      </c>
      <c r="BQ169" s="75">
        <f t="shared" ref="BQ169:BQ186" si="294">+X169-AU169</f>
        <v>0</v>
      </c>
      <c r="BR169" s="75">
        <f t="shared" ref="BR169:BR186" si="295">+Y169-AV169</f>
        <v>0</v>
      </c>
      <c r="BS169" s="75">
        <f t="shared" ref="BS169:BS186" si="296">+Z169-AW169</f>
        <v>0</v>
      </c>
      <c r="BT169" s="75">
        <f t="shared" ref="BT169:BT186" si="297">+AA169-AX169</f>
        <v>0</v>
      </c>
      <c r="BU169" s="75">
        <f t="shared" ref="BU169:BU186" si="298">+AB169-AY169</f>
        <v>0</v>
      </c>
      <c r="BV169" s="75">
        <f t="shared" ref="BV169:BV186" si="299">+AC169-AZ169</f>
        <v>0</v>
      </c>
      <c r="BW169" s="75">
        <f t="shared" ref="BW169:BW186" si="300">+AD169-BA169</f>
        <v>0</v>
      </c>
      <c r="BX169" s="75"/>
      <c r="BY169" s="75">
        <f t="shared" ref="BY169:BZ174" si="301">+AF169-BC169</f>
        <v>0</v>
      </c>
      <c r="BZ169" s="75">
        <f t="shared" si="301"/>
        <v>0</v>
      </c>
      <c r="CA169" s="25">
        <f t="shared" ref="CA169:CA187" si="302">+CB169/M169</f>
        <v>0.96491471676300578</v>
      </c>
      <c r="CB169" s="75">
        <f t="shared" si="283"/>
        <v>83465123</v>
      </c>
      <c r="CC169" s="75"/>
      <c r="CD169" s="75"/>
      <c r="CE169" s="75"/>
      <c r="CF169" s="75"/>
      <c r="CG169" s="75"/>
      <c r="CH169" s="75">
        <f>+'[2]JULIO 2015'!$H$1989+'[2]JULIO 2015'!$H$1995+'[2]JULIO 2015'!$H$1997</f>
        <v>83465123</v>
      </c>
      <c r="CI169" s="75"/>
      <c r="CJ169" s="75"/>
      <c r="CK169" s="75"/>
      <c r="CL169" s="75"/>
      <c r="CM169" s="75"/>
      <c r="CN169" s="75"/>
      <c r="CO169" s="75"/>
      <c r="CP169" s="75"/>
      <c r="CQ169" s="75"/>
      <c r="CR169" s="75"/>
      <c r="CS169" s="75"/>
      <c r="CT169" s="75"/>
      <c r="CU169" s="75"/>
      <c r="CV169" s="75"/>
      <c r="CW169" s="25">
        <f t="shared" ref="CW169:CW187" si="303">1-CA169</f>
        <v>3.5085283236994225E-2</v>
      </c>
      <c r="CX169" s="75">
        <f t="shared" si="284"/>
        <v>3034877</v>
      </c>
      <c r="CY169" s="75"/>
      <c r="CZ169" s="75">
        <f>O169-CD169</f>
        <v>0</v>
      </c>
      <c r="DA169" s="75"/>
      <c r="DB169" s="75">
        <f t="shared" si="247"/>
        <v>0</v>
      </c>
      <c r="DC169" s="75">
        <f t="shared" ref="DC169:DC186" si="304">R169-CG169</f>
        <v>0</v>
      </c>
      <c r="DD169" s="75">
        <f t="shared" ref="DD169:DD186" si="305">S169-CH169</f>
        <v>1534877</v>
      </c>
      <c r="DE169" s="75">
        <f t="shared" ref="DE169:DE186" si="306">T169-CI169</f>
        <v>0</v>
      </c>
      <c r="DF169" s="75"/>
      <c r="DG169" s="75">
        <f t="shared" ref="DG169:DG186" si="307">+V169-CK169</f>
        <v>0</v>
      </c>
      <c r="DH169" s="75">
        <f t="shared" ref="DH169:DH186" si="308">+W169-CL169</f>
        <v>0</v>
      </c>
      <c r="DI169" s="75"/>
      <c r="DJ169" s="75">
        <f t="shared" ref="DJ169:DJ186" si="309">Y169-CN169</f>
        <v>0</v>
      </c>
      <c r="DK169" s="75">
        <f t="shared" ref="DK169:DK186" si="310">Z169-CO169</f>
        <v>0</v>
      </c>
      <c r="DL169" s="75">
        <f t="shared" ref="DL169:DL186" si="311">AA169-CP169</f>
        <v>0</v>
      </c>
      <c r="DM169" s="75">
        <f t="shared" ref="DM169:DM186" si="312">+AB169-CQ169</f>
        <v>0</v>
      </c>
      <c r="DN169" s="75">
        <f t="shared" ref="DN169:DN186" si="313">+AC169-CR169</f>
        <v>1500000</v>
      </c>
      <c r="DO169" s="75">
        <f t="shared" ref="DO169:DO186" si="314">+AD169-CS169</f>
        <v>0</v>
      </c>
      <c r="DP169" s="75">
        <f t="shared" ref="DP169:DP186" si="315">+AE169-CT169</f>
        <v>0</v>
      </c>
      <c r="DQ169" s="75">
        <f t="shared" ref="DQ169:DQ186" si="316">+AF169-CU169</f>
        <v>0</v>
      </c>
      <c r="DR169" s="75">
        <f t="shared" ref="DR169:DR186" si="317">+AG169-CV169</f>
        <v>0</v>
      </c>
    </row>
    <row r="170" spans="1:122" ht="47.25" hidden="1" customHeight="1" x14ac:dyDescent="0.3">
      <c r="A170" s="246"/>
      <c r="B170" s="271"/>
      <c r="C170" s="272" t="s">
        <v>54</v>
      </c>
      <c r="D170" s="272" t="s">
        <v>53</v>
      </c>
      <c r="E170" s="273">
        <v>510</v>
      </c>
      <c r="F170" s="181" t="s">
        <v>39</v>
      </c>
      <c r="G170" s="228"/>
      <c r="H170" s="79">
        <f t="shared" si="278"/>
        <v>0</v>
      </c>
      <c r="I170" s="79">
        <f t="shared" si="279"/>
        <v>10000000</v>
      </c>
      <c r="J170" s="78"/>
      <c r="K170" s="78"/>
      <c r="L170" s="78"/>
      <c r="M170" s="75">
        <f t="shared" si="280"/>
        <v>10000000</v>
      </c>
      <c r="N170" s="45"/>
      <c r="O170" s="75"/>
      <c r="P170" s="75"/>
      <c r="Q170" s="75">
        <f>16000000-16000000</f>
        <v>0</v>
      </c>
      <c r="R170" s="75"/>
      <c r="S170" s="75">
        <f>16000000-16000000</f>
        <v>0</v>
      </c>
      <c r="T170" s="75"/>
      <c r="U170" s="75"/>
      <c r="V170" s="75"/>
      <c r="W170" s="75"/>
      <c r="X170" s="75"/>
      <c r="Y170" s="75"/>
      <c r="Z170" s="75"/>
      <c r="AA170" s="75"/>
      <c r="AB170" s="75"/>
      <c r="AC170" s="75">
        <v>10000000</v>
      </c>
      <c r="AD170" s="75"/>
      <c r="AE170" s="75"/>
      <c r="AF170" s="75"/>
      <c r="AG170" s="75"/>
      <c r="AI170" s="25">
        <f t="shared" si="285"/>
        <v>0.57037199999999999</v>
      </c>
      <c r="AJ170" s="75">
        <f t="shared" si="281"/>
        <v>5703720</v>
      </c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>
        <f>+'[1]AGOSTO 2015'!$Y$2243</f>
        <v>5703720</v>
      </c>
      <c r="BA170" s="75"/>
      <c r="BB170" s="75"/>
      <c r="BC170" s="75"/>
      <c r="BD170" s="75"/>
      <c r="BE170" s="25">
        <f t="shared" si="286"/>
        <v>0.42962800000000001</v>
      </c>
      <c r="BF170" s="75">
        <f t="shared" si="282"/>
        <v>4296280</v>
      </c>
      <c r="BG170" s="75">
        <f t="shared" si="287"/>
        <v>0</v>
      </c>
      <c r="BH170" s="75">
        <f t="shared" si="288"/>
        <v>0</v>
      </c>
      <c r="BI170" s="75"/>
      <c r="BJ170" s="75">
        <f t="shared" si="246"/>
        <v>0</v>
      </c>
      <c r="BK170" s="75">
        <f t="shared" si="289"/>
        <v>0</v>
      </c>
      <c r="BL170" s="75">
        <f t="shared" si="290"/>
        <v>0</v>
      </c>
      <c r="BM170" s="75">
        <f t="shared" si="291"/>
        <v>0</v>
      </c>
      <c r="BN170" s="75"/>
      <c r="BO170" s="75">
        <f t="shared" si="292"/>
        <v>0</v>
      </c>
      <c r="BP170" s="75">
        <f t="shared" si="293"/>
        <v>0</v>
      </c>
      <c r="BQ170" s="75">
        <f t="shared" si="294"/>
        <v>0</v>
      </c>
      <c r="BR170" s="75">
        <f t="shared" si="295"/>
        <v>0</v>
      </c>
      <c r="BS170" s="75">
        <f t="shared" si="296"/>
        <v>0</v>
      </c>
      <c r="BT170" s="75">
        <f t="shared" si="297"/>
        <v>0</v>
      </c>
      <c r="BU170" s="75">
        <f t="shared" si="298"/>
        <v>0</v>
      </c>
      <c r="BV170" s="75">
        <f t="shared" si="299"/>
        <v>4296280</v>
      </c>
      <c r="BW170" s="75">
        <f t="shared" si="300"/>
        <v>0</v>
      </c>
      <c r="BX170" s="75"/>
      <c r="BY170" s="75">
        <f t="shared" si="301"/>
        <v>0</v>
      </c>
      <c r="BZ170" s="75">
        <f t="shared" si="301"/>
        <v>0</v>
      </c>
      <c r="CA170" s="25">
        <f t="shared" si="302"/>
        <v>0</v>
      </c>
      <c r="CB170" s="75">
        <f t="shared" si="283"/>
        <v>0</v>
      </c>
      <c r="CC170" s="75"/>
      <c r="CD170" s="75"/>
      <c r="CE170" s="75"/>
      <c r="CF170" s="75"/>
      <c r="CG170" s="75"/>
      <c r="CH170" s="75"/>
      <c r="CI170" s="75"/>
      <c r="CJ170" s="75"/>
      <c r="CK170" s="75"/>
      <c r="CL170" s="75"/>
      <c r="CM170" s="75"/>
      <c r="CN170" s="75"/>
      <c r="CO170" s="75"/>
      <c r="CP170" s="75"/>
      <c r="CQ170" s="75"/>
      <c r="CR170" s="75"/>
      <c r="CS170" s="75"/>
      <c r="CT170" s="75"/>
      <c r="CU170" s="75"/>
      <c r="CV170" s="75"/>
      <c r="CW170" s="25">
        <f t="shared" si="303"/>
        <v>1</v>
      </c>
      <c r="CX170" s="75">
        <f t="shared" si="284"/>
        <v>10000000</v>
      </c>
      <c r="CY170" s="75"/>
      <c r="CZ170" s="75"/>
      <c r="DA170" s="75"/>
      <c r="DB170" s="75">
        <f t="shared" si="247"/>
        <v>0</v>
      </c>
      <c r="DC170" s="75">
        <f t="shared" si="304"/>
        <v>0</v>
      </c>
      <c r="DD170" s="75">
        <f t="shared" si="305"/>
        <v>0</v>
      </c>
      <c r="DE170" s="75">
        <f t="shared" si="306"/>
        <v>0</v>
      </c>
      <c r="DF170" s="75"/>
      <c r="DG170" s="75">
        <f t="shared" si="307"/>
        <v>0</v>
      </c>
      <c r="DH170" s="75">
        <f t="shared" si="308"/>
        <v>0</v>
      </c>
      <c r="DI170" s="75"/>
      <c r="DJ170" s="75">
        <f t="shared" si="309"/>
        <v>0</v>
      </c>
      <c r="DK170" s="75">
        <f t="shared" si="310"/>
        <v>0</v>
      </c>
      <c r="DL170" s="75">
        <f t="shared" si="311"/>
        <v>0</v>
      </c>
      <c r="DM170" s="75">
        <f t="shared" si="312"/>
        <v>0</v>
      </c>
      <c r="DN170" s="75">
        <f t="shared" si="313"/>
        <v>10000000</v>
      </c>
      <c r="DO170" s="75">
        <f t="shared" si="314"/>
        <v>0</v>
      </c>
      <c r="DP170" s="75">
        <f t="shared" si="315"/>
        <v>0</v>
      </c>
      <c r="DQ170" s="75">
        <f t="shared" si="316"/>
        <v>0</v>
      </c>
      <c r="DR170" s="75">
        <f t="shared" si="317"/>
        <v>0</v>
      </c>
    </row>
    <row r="171" spans="1:122" ht="41.25" hidden="1" customHeight="1" x14ac:dyDescent="0.3">
      <c r="A171" s="246"/>
      <c r="B171" s="271"/>
      <c r="C171" s="272" t="s">
        <v>52</v>
      </c>
      <c r="D171" s="272" t="s">
        <v>51</v>
      </c>
      <c r="E171" s="273">
        <v>510</v>
      </c>
      <c r="F171" s="181" t="s">
        <v>50</v>
      </c>
      <c r="G171" s="228"/>
      <c r="H171" s="79">
        <f t="shared" si="278"/>
        <v>0</v>
      </c>
      <c r="I171" s="79">
        <f t="shared" si="279"/>
        <v>8000000</v>
      </c>
      <c r="J171" s="78"/>
      <c r="K171" s="78"/>
      <c r="L171" s="78"/>
      <c r="M171" s="75">
        <f t="shared" si="280"/>
        <v>8000000</v>
      </c>
      <c r="N171" s="45"/>
      <c r="O171" s="75"/>
      <c r="P171" s="75"/>
      <c r="Q171" s="75"/>
      <c r="R171" s="75"/>
      <c r="S171" s="75">
        <v>8000000</v>
      </c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I171" s="25">
        <f t="shared" si="285"/>
        <v>0</v>
      </c>
      <c r="AJ171" s="75">
        <f t="shared" si="281"/>
        <v>0</v>
      </c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25">
        <f t="shared" si="286"/>
        <v>1</v>
      </c>
      <c r="BF171" s="75">
        <f t="shared" si="282"/>
        <v>8000000</v>
      </c>
      <c r="BG171" s="75">
        <f t="shared" si="287"/>
        <v>0</v>
      </c>
      <c r="BH171" s="75">
        <f t="shared" si="288"/>
        <v>0</v>
      </c>
      <c r="BI171" s="75"/>
      <c r="BJ171" s="75">
        <f t="shared" si="246"/>
        <v>0</v>
      </c>
      <c r="BK171" s="75">
        <f t="shared" si="289"/>
        <v>0</v>
      </c>
      <c r="BL171" s="75">
        <f t="shared" si="290"/>
        <v>8000000</v>
      </c>
      <c r="BM171" s="75">
        <f t="shared" si="291"/>
        <v>0</v>
      </c>
      <c r="BN171" s="75"/>
      <c r="BO171" s="75">
        <f t="shared" si="292"/>
        <v>0</v>
      </c>
      <c r="BP171" s="75">
        <f t="shared" si="293"/>
        <v>0</v>
      </c>
      <c r="BQ171" s="75">
        <f t="shared" si="294"/>
        <v>0</v>
      </c>
      <c r="BR171" s="75">
        <f t="shared" si="295"/>
        <v>0</v>
      </c>
      <c r="BS171" s="75">
        <f t="shared" si="296"/>
        <v>0</v>
      </c>
      <c r="BT171" s="75">
        <f t="shared" si="297"/>
        <v>0</v>
      </c>
      <c r="BU171" s="75">
        <f t="shared" si="298"/>
        <v>0</v>
      </c>
      <c r="BV171" s="75">
        <f t="shared" si="299"/>
        <v>0</v>
      </c>
      <c r="BW171" s="75">
        <f t="shared" si="300"/>
        <v>0</v>
      </c>
      <c r="BX171" s="75"/>
      <c r="BY171" s="75">
        <f t="shared" si="301"/>
        <v>0</v>
      </c>
      <c r="BZ171" s="75">
        <f t="shared" si="301"/>
        <v>0</v>
      </c>
      <c r="CA171" s="25">
        <f t="shared" si="302"/>
        <v>0</v>
      </c>
      <c r="CB171" s="75">
        <f t="shared" si="283"/>
        <v>0</v>
      </c>
      <c r="CC171" s="75"/>
      <c r="CD171" s="75"/>
      <c r="CE171" s="75"/>
      <c r="CF171" s="75"/>
      <c r="CG171" s="75"/>
      <c r="CH171" s="75"/>
      <c r="CI171" s="75"/>
      <c r="CJ171" s="75"/>
      <c r="CK171" s="75"/>
      <c r="CL171" s="75"/>
      <c r="CM171" s="75"/>
      <c r="CN171" s="75"/>
      <c r="CO171" s="75"/>
      <c r="CP171" s="75"/>
      <c r="CQ171" s="75"/>
      <c r="CR171" s="75"/>
      <c r="CS171" s="75"/>
      <c r="CT171" s="75"/>
      <c r="CU171" s="75"/>
      <c r="CV171" s="75"/>
      <c r="CW171" s="25">
        <f t="shared" si="303"/>
        <v>1</v>
      </c>
      <c r="CX171" s="75">
        <f t="shared" si="284"/>
        <v>8000000</v>
      </c>
      <c r="CY171" s="75"/>
      <c r="CZ171" s="75"/>
      <c r="DA171" s="75"/>
      <c r="DB171" s="75">
        <f t="shared" si="247"/>
        <v>0</v>
      </c>
      <c r="DC171" s="75">
        <f t="shared" si="304"/>
        <v>0</v>
      </c>
      <c r="DD171" s="75">
        <f t="shared" si="305"/>
        <v>8000000</v>
      </c>
      <c r="DE171" s="75">
        <f t="shared" si="306"/>
        <v>0</v>
      </c>
      <c r="DF171" s="75"/>
      <c r="DG171" s="75">
        <f t="shared" si="307"/>
        <v>0</v>
      </c>
      <c r="DH171" s="75">
        <f t="shared" si="308"/>
        <v>0</v>
      </c>
      <c r="DI171" s="75"/>
      <c r="DJ171" s="75">
        <f t="shared" si="309"/>
        <v>0</v>
      </c>
      <c r="DK171" s="75">
        <f t="shared" si="310"/>
        <v>0</v>
      </c>
      <c r="DL171" s="75">
        <f t="shared" si="311"/>
        <v>0</v>
      </c>
      <c r="DM171" s="75">
        <f t="shared" si="312"/>
        <v>0</v>
      </c>
      <c r="DN171" s="75">
        <f t="shared" si="313"/>
        <v>0</v>
      </c>
      <c r="DO171" s="75">
        <f t="shared" si="314"/>
        <v>0</v>
      </c>
      <c r="DP171" s="75">
        <f t="shared" si="315"/>
        <v>0</v>
      </c>
      <c r="DQ171" s="75">
        <f t="shared" si="316"/>
        <v>0</v>
      </c>
      <c r="DR171" s="75">
        <f t="shared" si="317"/>
        <v>0</v>
      </c>
    </row>
    <row r="172" spans="1:122" ht="49.5" hidden="1" customHeight="1" x14ac:dyDescent="0.3">
      <c r="A172" s="246"/>
      <c r="B172" s="271"/>
      <c r="C172" s="272" t="s">
        <v>49</v>
      </c>
      <c r="D172" s="272" t="s">
        <v>48</v>
      </c>
      <c r="E172" s="273">
        <v>510</v>
      </c>
      <c r="F172" s="181" t="s">
        <v>39</v>
      </c>
      <c r="G172" s="228"/>
      <c r="H172" s="79">
        <f t="shared" si="278"/>
        <v>0</v>
      </c>
      <c r="I172" s="79">
        <f t="shared" si="279"/>
        <v>0</v>
      </c>
      <c r="J172" s="78"/>
      <c r="K172" s="78"/>
      <c r="L172" s="78"/>
      <c r="M172" s="75">
        <f t="shared" si="280"/>
        <v>0</v>
      </c>
      <c r="N172" s="45"/>
      <c r="O172" s="75"/>
      <c r="P172" s="75"/>
      <c r="Q172" s="75">
        <f>16000000-16000000</f>
        <v>0</v>
      </c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I172" s="25" t="e">
        <f t="shared" si="285"/>
        <v>#DIV/0!</v>
      </c>
      <c r="AJ172" s="75">
        <f t="shared" si="281"/>
        <v>0</v>
      </c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25" t="e">
        <f t="shared" si="286"/>
        <v>#DIV/0!</v>
      </c>
      <c r="BF172" s="75">
        <f t="shared" si="282"/>
        <v>0</v>
      </c>
      <c r="BG172" s="75">
        <f t="shared" si="287"/>
        <v>0</v>
      </c>
      <c r="BH172" s="75">
        <f t="shared" si="288"/>
        <v>0</v>
      </c>
      <c r="BI172" s="75"/>
      <c r="BJ172" s="75">
        <f t="shared" si="246"/>
        <v>0</v>
      </c>
      <c r="BK172" s="75">
        <f t="shared" si="289"/>
        <v>0</v>
      </c>
      <c r="BL172" s="75">
        <f t="shared" si="290"/>
        <v>0</v>
      </c>
      <c r="BM172" s="75">
        <f t="shared" si="291"/>
        <v>0</v>
      </c>
      <c r="BN172" s="75"/>
      <c r="BO172" s="75">
        <f t="shared" si="292"/>
        <v>0</v>
      </c>
      <c r="BP172" s="75">
        <f t="shared" si="293"/>
        <v>0</v>
      </c>
      <c r="BQ172" s="75">
        <f t="shared" si="294"/>
        <v>0</v>
      </c>
      <c r="BR172" s="75">
        <f t="shared" si="295"/>
        <v>0</v>
      </c>
      <c r="BS172" s="75">
        <f t="shared" si="296"/>
        <v>0</v>
      </c>
      <c r="BT172" s="75">
        <f t="shared" si="297"/>
        <v>0</v>
      </c>
      <c r="BU172" s="75">
        <f t="shared" si="298"/>
        <v>0</v>
      </c>
      <c r="BV172" s="75">
        <f t="shared" si="299"/>
        <v>0</v>
      </c>
      <c r="BW172" s="75">
        <f t="shared" si="300"/>
        <v>0</v>
      </c>
      <c r="BX172" s="75"/>
      <c r="BY172" s="75">
        <f t="shared" si="301"/>
        <v>0</v>
      </c>
      <c r="BZ172" s="75">
        <f t="shared" si="301"/>
        <v>0</v>
      </c>
      <c r="CA172" s="25" t="e">
        <f t="shared" si="302"/>
        <v>#DIV/0!</v>
      </c>
      <c r="CB172" s="75">
        <f t="shared" si="283"/>
        <v>0</v>
      </c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25" t="e">
        <f t="shared" si="303"/>
        <v>#DIV/0!</v>
      </c>
      <c r="CX172" s="75">
        <f t="shared" si="284"/>
        <v>0</v>
      </c>
      <c r="CY172" s="75"/>
      <c r="CZ172" s="75"/>
      <c r="DA172" s="75"/>
      <c r="DB172" s="75">
        <f t="shared" si="247"/>
        <v>0</v>
      </c>
      <c r="DC172" s="75">
        <f t="shared" si="304"/>
        <v>0</v>
      </c>
      <c r="DD172" s="75">
        <f t="shared" si="305"/>
        <v>0</v>
      </c>
      <c r="DE172" s="75">
        <f t="shared" si="306"/>
        <v>0</v>
      </c>
      <c r="DF172" s="75"/>
      <c r="DG172" s="75">
        <f t="shared" si="307"/>
        <v>0</v>
      </c>
      <c r="DH172" s="75">
        <f t="shared" si="308"/>
        <v>0</v>
      </c>
      <c r="DI172" s="75"/>
      <c r="DJ172" s="75">
        <f t="shared" si="309"/>
        <v>0</v>
      </c>
      <c r="DK172" s="75">
        <f t="shared" si="310"/>
        <v>0</v>
      </c>
      <c r="DL172" s="75">
        <f t="shared" si="311"/>
        <v>0</v>
      </c>
      <c r="DM172" s="75">
        <f t="shared" si="312"/>
        <v>0</v>
      </c>
      <c r="DN172" s="75">
        <f t="shared" si="313"/>
        <v>0</v>
      </c>
      <c r="DO172" s="75">
        <f t="shared" si="314"/>
        <v>0</v>
      </c>
      <c r="DP172" s="75">
        <f t="shared" si="315"/>
        <v>0</v>
      </c>
      <c r="DQ172" s="75">
        <f t="shared" si="316"/>
        <v>0</v>
      </c>
      <c r="DR172" s="75">
        <f t="shared" si="317"/>
        <v>0</v>
      </c>
    </row>
    <row r="173" spans="1:122" ht="47.25" hidden="1" customHeight="1" x14ac:dyDescent="0.3">
      <c r="A173" s="246"/>
      <c r="B173" s="271"/>
      <c r="C173" s="272" t="s">
        <v>47</v>
      </c>
      <c r="D173" s="272" t="s">
        <v>46</v>
      </c>
      <c r="E173" s="273">
        <v>510</v>
      </c>
      <c r="F173" s="181" t="s">
        <v>39</v>
      </c>
      <c r="G173" s="228"/>
      <c r="H173" s="79">
        <f t="shared" si="278"/>
        <v>0</v>
      </c>
      <c r="I173" s="79">
        <f t="shared" si="279"/>
        <v>0</v>
      </c>
      <c r="J173" s="78"/>
      <c r="K173" s="78"/>
      <c r="L173" s="78"/>
      <c r="M173" s="75">
        <f t="shared" si="280"/>
        <v>0</v>
      </c>
      <c r="N173" s="45"/>
      <c r="O173" s="75"/>
      <c r="P173" s="75"/>
      <c r="Q173" s="75">
        <f>5000000-5000000</f>
        <v>0</v>
      </c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I173" s="25" t="e">
        <f t="shared" si="285"/>
        <v>#DIV/0!</v>
      </c>
      <c r="AJ173" s="75">
        <f t="shared" si="281"/>
        <v>0</v>
      </c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25" t="e">
        <f t="shared" si="286"/>
        <v>#DIV/0!</v>
      </c>
      <c r="BF173" s="75">
        <f t="shared" si="282"/>
        <v>0</v>
      </c>
      <c r="BG173" s="75">
        <f t="shared" si="287"/>
        <v>0</v>
      </c>
      <c r="BH173" s="75">
        <f t="shared" si="288"/>
        <v>0</v>
      </c>
      <c r="BI173" s="75"/>
      <c r="BJ173" s="75">
        <f t="shared" si="246"/>
        <v>0</v>
      </c>
      <c r="BK173" s="75">
        <f t="shared" si="289"/>
        <v>0</v>
      </c>
      <c r="BL173" s="75">
        <f t="shared" si="290"/>
        <v>0</v>
      </c>
      <c r="BM173" s="75">
        <f t="shared" si="291"/>
        <v>0</v>
      </c>
      <c r="BN173" s="75"/>
      <c r="BO173" s="75">
        <f t="shared" si="292"/>
        <v>0</v>
      </c>
      <c r="BP173" s="75">
        <f t="shared" si="293"/>
        <v>0</v>
      </c>
      <c r="BQ173" s="75">
        <f t="shared" si="294"/>
        <v>0</v>
      </c>
      <c r="BR173" s="75">
        <f t="shared" si="295"/>
        <v>0</v>
      </c>
      <c r="BS173" s="75">
        <f t="shared" si="296"/>
        <v>0</v>
      </c>
      <c r="BT173" s="75">
        <f t="shared" si="297"/>
        <v>0</v>
      </c>
      <c r="BU173" s="75">
        <f t="shared" si="298"/>
        <v>0</v>
      </c>
      <c r="BV173" s="75">
        <f t="shared" si="299"/>
        <v>0</v>
      </c>
      <c r="BW173" s="75">
        <f t="shared" si="300"/>
        <v>0</v>
      </c>
      <c r="BX173" s="75"/>
      <c r="BY173" s="75">
        <f t="shared" si="301"/>
        <v>0</v>
      </c>
      <c r="BZ173" s="75">
        <f t="shared" si="301"/>
        <v>0</v>
      </c>
      <c r="CA173" s="25" t="e">
        <f t="shared" si="302"/>
        <v>#DIV/0!</v>
      </c>
      <c r="CB173" s="75">
        <f t="shared" si="283"/>
        <v>0</v>
      </c>
      <c r="CC173" s="75"/>
      <c r="CD173" s="75"/>
      <c r="CE173" s="75"/>
      <c r="CF173" s="75"/>
      <c r="CG173" s="75"/>
      <c r="CH173" s="75"/>
      <c r="CI173" s="75"/>
      <c r="CJ173" s="75"/>
      <c r="CK173" s="75"/>
      <c r="CL173" s="75"/>
      <c r="CM173" s="75"/>
      <c r="CN173" s="75"/>
      <c r="CO173" s="75"/>
      <c r="CP173" s="75"/>
      <c r="CQ173" s="75"/>
      <c r="CR173" s="75"/>
      <c r="CS173" s="75"/>
      <c r="CT173" s="75"/>
      <c r="CU173" s="75"/>
      <c r="CV173" s="75"/>
      <c r="CW173" s="25" t="e">
        <f t="shared" si="303"/>
        <v>#DIV/0!</v>
      </c>
      <c r="CX173" s="75">
        <f t="shared" si="284"/>
        <v>0</v>
      </c>
      <c r="CY173" s="75"/>
      <c r="CZ173" s="75"/>
      <c r="DA173" s="75"/>
      <c r="DB173" s="75">
        <f t="shared" si="247"/>
        <v>0</v>
      </c>
      <c r="DC173" s="75">
        <f t="shared" si="304"/>
        <v>0</v>
      </c>
      <c r="DD173" s="75">
        <f t="shared" si="305"/>
        <v>0</v>
      </c>
      <c r="DE173" s="75">
        <f t="shared" si="306"/>
        <v>0</v>
      </c>
      <c r="DF173" s="75"/>
      <c r="DG173" s="75">
        <f t="shared" si="307"/>
        <v>0</v>
      </c>
      <c r="DH173" s="75">
        <f t="shared" si="308"/>
        <v>0</v>
      </c>
      <c r="DI173" s="75"/>
      <c r="DJ173" s="75">
        <f t="shared" si="309"/>
        <v>0</v>
      </c>
      <c r="DK173" s="75">
        <f t="shared" si="310"/>
        <v>0</v>
      </c>
      <c r="DL173" s="75">
        <f t="shared" si="311"/>
        <v>0</v>
      </c>
      <c r="DM173" s="75">
        <f t="shared" si="312"/>
        <v>0</v>
      </c>
      <c r="DN173" s="75">
        <f t="shared" si="313"/>
        <v>0</v>
      </c>
      <c r="DO173" s="75">
        <f t="shared" si="314"/>
        <v>0</v>
      </c>
      <c r="DP173" s="75">
        <f t="shared" si="315"/>
        <v>0</v>
      </c>
      <c r="DQ173" s="75">
        <f t="shared" si="316"/>
        <v>0</v>
      </c>
      <c r="DR173" s="75">
        <f t="shared" si="317"/>
        <v>0</v>
      </c>
    </row>
    <row r="174" spans="1:122" ht="35.25" hidden="1" customHeight="1" x14ac:dyDescent="0.3">
      <c r="A174" s="246"/>
      <c r="B174" s="271"/>
      <c r="C174" s="272" t="s">
        <v>45</v>
      </c>
      <c r="D174" s="272" t="s">
        <v>44</v>
      </c>
      <c r="E174" s="273">
        <v>510</v>
      </c>
      <c r="F174" s="181" t="s">
        <v>39</v>
      </c>
      <c r="G174" s="228"/>
      <c r="H174" s="79">
        <f t="shared" si="278"/>
        <v>0</v>
      </c>
      <c r="I174" s="79">
        <f t="shared" si="279"/>
        <v>8000000</v>
      </c>
      <c r="J174" s="78"/>
      <c r="K174" s="78"/>
      <c r="L174" s="78"/>
      <c r="M174" s="75">
        <f t="shared" si="280"/>
        <v>8000000</v>
      </c>
      <c r="N174" s="45"/>
      <c r="O174" s="75"/>
      <c r="P174" s="75"/>
      <c r="Q174" s="75">
        <f>8000000-8000000</f>
        <v>0</v>
      </c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>
        <v>8000000</v>
      </c>
      <c r="AD174" s="75"/>
      <c r="AE174" s="75"/>
      <c r="AF174" s="75"/>
      <c r="AG174" s="75"/>
      <c r="AI174" s="25">
        <f t="shared" si="285"/>
        <v>0</v>
      </c>
      <c r="AJ174" s="75">
        <f t="shared" si="281"/>
        <v>0</v>
      </c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25">
        <f t="shared" si="286"/>
        <v>1</v>
      </c>
      <c r="BF174" s="75">
        <f t="shared" si="282"/>
        <v>8000000</v>
      </c>
      <c r="BG174" s="75">
        <f t="shared" si="287"/>
        <v>0</v>
      </c>
      <c r="BH174" s="75">
        <f t="shared" si="288"/>
        <v>0</v>
      </c>
      <c r="BI174" s="75"/>
      <c r="BJ174" s="75">
        <f t="shared" si="246"/>
        <v>0</v>
      </c>
      <c r="BK174" s="75">
        <f t="shared" si="289"/>
        <v>0</v>
      </c>
      <c r="BL174" s="75">
        <f t="shared" si="290"/>
        <v>0</v>
      </c>
      <c r="BM174" s="75">
        <f t="shared" si="291"/>
        <v>0</v>
      </c>
      <c r="BN174" s="75"/>
      <c r="BO174" s="75">
        <f t="shared" si="292"/>
        <v>0</v>
      </c>
      <c r="BP174" s="75">
        <f t="shared" si="293"/>
        <v>0</v>
      </c>
      <c r="BQ174" s="75">
        <f t="shared" si="294"/>
        <v>0</v>
      </c>
      <c r="BR174" s="75">
        <f t="shared" si="295"/>
        <v>0</v>
      </c>
      <c r="BS174" s="75">
        <f t="shared" si="296"/>
        <v>0</v>
      </c>
      <c r="BT174" s="75">
        <f t="shared" si="297"/>
        <v>0</v>
      </c>
      <c r="BU174" s="75">
        <f t="shared" si="298"/>
        <v>0</v>
      </c>
      <c r="BV174" s="75">
        <f t="shared" si="299"/>
        <v>8000000</v>
      </c>
      <c r="BW174" s="75">
        <f t="shared" si="300"/>
        <v>0</v>
      </c>
      <c r="BX174" s="75"/>
      <c r="BY174" s="75">
        <f t="shared" si="301"/>
        <v>0</v>
      </c>
      <c r="BZ174" s="75">
        <f t="shared" si="301"/>
        <v>0</v>
      </c>
      <c r="CA174" s="25">
        <f t="shared" si="302"/>
        <v>0</v>
      </c>
      <c r="CB174" s="75">
        <f t="shared" si="283"/>
        <v>0</v>
      </c>
      <c r="CC174" s="75"/>
      <c r="CD174" s="75"/>
      <c r="CE174" s="75"/>
      <c r="CF174" s="75"/>
      <c r="CG174" s="75"/>
      <c r="CH174" s="75"/>
      <c r="CI174" s="75"/>
      <c r="CJ174" s="75"/>
      <c r="CK174" s="75"/>
      <c r="CL174" s="75"/>
      <c r="CM174" s="75"/>
      <c r="CN174" s="75"/>
      <c r="CO174" s="75"/>
      <c r="CP174" s="75"/>
      <c r="CQ174" s="75"/>
      <c r="CR174" s="75"/>
      <c r="CS174" s="75"/>
      <c r="CT174" s="75"/>
      <c r="CU174" s="75"/>
      <c r="CV174" s="75"/>
      <c r="CW174" s="25">
        <f t="shared" si="303"/>
        <v>1</v>
      </c>
      <c r="CX174" s="75">
        <f t="shared" si="284"/>
        <v>8000000</v>
      </c>
      <c r="CY174" s="75"/>
      <c r="CZ174" s="75"/>
      <c r="DA174" s="75"/>
      <c r="DB174" s="75">
        <f t="shared" si="247"/>
        <v>0</v>
      </c>
      <c r="DC174" s="75">
        <f t="shared" si="304"/>
        <v>0</v>
      </c>
      <c r="DD174" s="75">
        <f t="shared" si="305"/>
        <v>0</v>
      </c>
      <c r="DE174" s="75">
        <f t="shared" si="306"/>
        <v>0</v>
      </c>
      <c r="DF174" s="75"/>
      <c r="DG174" s="75">
        <f t="shared" si="307"/>
        <v>0</v>
      </c>
      <c r="DH174" s="75">
        <f t="shared" si="308"/>
        <v>0</v>
      </c>
      <c r="DI174" s="75"/>
      <c r="DJ174" s="75">
        <f t="shared" si="309"/>
        <v>0</v>
      </c>
      <c r="DK174" s="75">
        <f t="shared" si="310"/>
        <v>0</v>
      </c>
      <c r="DL174" s="75">
        <f t="shared" si="311"/>
        <v>0</v>
      </c>
      <c r="DM174" s="75">
        <f t="shared" si="312"/>
        <v>0</v>
      </c>
      <c r="DN174" s="75">
        <f t="shared" si="313"/>
        <v>8000000</v>
      </c>
      <c r="DO174" s="75">
        <f t="shared" si="314"/>
        <v>0</v>
      </c>
      <c r="DP174" s="75">
        <f t="shared" si="315"/>
        <v>0</v>
      </c>
      <c r="DQ174" s="75">
        <f t="shared" si="316"/>
        <v>0</v>
      </c>
      <c r="DR174" s="75">
        <f t="shared" si="317"/>
        <v>0</v>
      </c>
    </row>
    <row r="175" spans="1:122" ht="36" hidden="1" customHeight="1" x14ac:dyDescent="0.3">
      <c r="A175" s="246"/>
      <c r="B175" s="271"/>
      <c r="C175" s="272" t="s">
        <v>43</v>
      </c>
      <c r="D175" s="272" t="s">
        <v>42</v>
      </c>
      <c r="E175" s="273">
        <v>510</v>
      </c>
      <c r="F175" s="181" t="s">
        <v>39</v>
      </c>
      <c r="G175" s="228"/>
      <c r="H175" s="79">
        <f t="shared" si="278"/>
        <v>74061157</v>
      </c>
      <c r="I175" s="79">
        <f t="shared" si="279"/>
        <v>32938843</v>
      </c>
      <c r="J175" s="78"/>
      <c r="K175" s="78"/>
      <c r="L175" s="78"/>
      <c r="M175" s="75">
        <f t="shared" si="280"/>
        <v>107000000</v>
      </c>
      <c r="N175" s="45"/>
      <c r="O175" s="75"/>
      <c r="P175" s="75"/>
      <c r="Q175" s="75"/>
      <c r="R175" s="75"/>
      <c r="S175" s="75">
        <v>107000000</v>
      </c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I175" s="25">
        <f t="shared" si="285"/>
        <v>0.69216034579439256</v>
      </c>
      <c r="AJ175" s="75">
        <f t="shared" si="281"/>
        <v>74061157</v>
      </c>
      <c r="AK175" s="75"/>
      <c r="AL175" s="75"/>
      <c r="AM175" s="75"/>
      <c r="AN175" s="75"/>
      <c r="AO175" s="75"/>
      <c r="AP175" s="75">
        <f>+'[1]AGOSTO 2015'!$O$2267</f>
        <v>74061157</v>
      </c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25">
        <f t="shared" si="286"/>
        <v>0.30783965420560744</v>
      </c>
      <c r="BF175" s="75">
        <f t="shared" si="282"/>
        <v>32938843</v>
      </c>
      <c r="BG175" s="75">
        <f t="shared" si="287"/>
        <v>0</v>
      </c>
      <c r="BH175" s="75">
        <f t="shared" si="288"/>
        <v>0</v>
      </c>
      <c r="BI175" s="75"/>
      <c r="BJ175" s="75">
        <f t="shared" si="246"/>
        <v>0</v>
      </c>
      <c r="BK175" s="75">
        <f t="shared" si="289"/>
        <v>0</v>
      </c>
      <c r="BL175" s="75">
        <f t="shared" si="290"/>
        <v>32938843</v>
      </c>
      <c r="BM175" s="75">
        <f t="shared" si="291"/>
        <v>0</v>
      </c>
      <c r="BN175" s="75"/>
      <c r="BO175" s="75">
        <f t="shared" si="292"/>
        <v>0</v>
      </c>
      <c r="BP175" s="75">
        <f t="shared" si="293"/>
        <v>0</v>
      </c>
      <c r="BQ175" s="75">
        <f t="shared" si="294"/>
        <v>0</v>
      </c>
      <c r="BR175" s="75">
        <f t="shared" si="295"/>
        <v>0</v>
      </c>
      <c r="BS175" s="75">
        <f t="shared" si="296"/>
        <v>0</v>
      </c>
      <c r="BT175" s="75">
        <f t="shared" si="297"/>
        <v>0</v>
      </c>
      <c r="BU175" s="75">
        <f t="shared" si="298"/>
        <v>0</v>
      </c>
      <c r="BV175" s="75">
        <f t="shared" si="299"/>
        <v>0</v>
      </c>
      <c r="BW175" s="75">
        <f t="shared" si="300"/>
        <v>0</v>
      </c>
      <c r="BX175" s="75"/>
      <c r="BY175" s="75"/>
      <c r="BZ175" s="75">
        <f t="shared" ref="BZ175:BZ186" si="318">+AG175-BD175</f>
        <v>0</v>
      </c>
      <c r="CA175" s="25">
        <f t="shared" si="302"/>
        <v>0.69216034579439256</v>
      </c>
      <c r="CB175" s="75">
        <f t="shared" si="283"/>
        <v>74061157</v>
      </c>
      <c r="CC175" s="75"/>
      <c r="CD175" s="75"/>
      <c r="CE175" s="75"/>
      <c r="CF175" s="75"/>
      <c r="CG175" s="75"/>
      <c r="CH175" s="75">
        <f>+'[1]AGOSTO 2015'!$H$2265</f>
        <v>74061157</v>
      </c>
      <c r="CI175" s="75"/>
      <c r="CJ175" s="75"/>
      <c r="CK175" s="75"/>
      <c r="CL175" s="75"/>
      <c r="CM175" s="75"/>
      <c r="CN175" s="75"/>
      <c r="CO175" s="75"/>
      <c r="CP175" s="75"/>
      <c r="CQ175" s="75"/>
      <c r="CR175" s="75"/>
      <c r="CS175" s="75"/>
      <c r="CT175" s="75"/>
      <c r="CU175" s="75"/>
      <c r="CV175" s="75"/>
      <c r="CW175" s="25">
        <f t="shared" si="303"/>
        <v>0.30783965420560744</v>
      </c>
      <c r="CX175" s="75">
        <f t="shared" si="284"/>
        <v>32938843</v>
      </c>
      <c r="CY175" s="75"/>
      <c r="CZ175" s="75"/>
      <c r="DA175" s="75"/>
      <c r="DB175" s="75">
        <f t="shared" si="247"/>
        <v>0</v>
      </c>
      <c r="DC175" s="75">
        <f t="shared" si="304"/>
        <v>0</v>
      </c>
      <c r="DD175" s="75">
        <f t="shared" si="305"/>
        <v>32938843</v>
      </c>
      <c r="DE175" s="75">
        <f t="shared" si="306"/>
        <v>0</v>
      </c>
      <c r="DF175" s="75"/>
      <c r="DG175" s="75">
        <f t="shared" si="307"/>
        <v>0</v>
      </c>
      <c r="DH175" s="75">
        <f t="shared" si="308"/>
        <v>0</v>
      </c>
      <c r="DI175" s="75"/>
      <c r="DJ175" s="75">
        <f t="shared" si="309"/>
        <v>0</v>
      </c>
      <c r="DK175" s="75">
        <f t="shared" si="310"/>
        <v>0</v>
      </c>
      <c r="DL175" s="75">
        <f t="shared" si="311"/>
        <v>0</v>
      </c>
      <c r="DM175" s="75">
        <f t="shared" si="312"/>
        <v>0</v>
      </c>
      <c r="DN175" s="75">
        <f t="shared" si="313"/>
        <v>0</v>
      </c>
      <c r="DO175" s="75">
        <f t="shared" si="314"/>
        <v>0</v>
      </c>
      <c r="DP175" s="75">
        <f t="shared" si="315"/>
        <v>0</v>
      </c>
      <c r="DQ175" s="75">
        <f t="shared" si="316"/>
        <v>0</v>
      </c>
      <c r="DR175" s="75">
        <f t="shared" si="317"/>
        <v>0</v>
      </c>
    </row>
    <row r="176" spans="1:122" ht="33" hidden="1" customHeight="1" x14ac:dyDescent="0.3">
      <c r="A176" s="246"/>
      <c r="B176" s="271"/>
      <c r="C176" s="272" t="s">
        <v>41</v>
      </c>
      <c r="D176" s="272" t="s">
        <v>40</v>
      </c>
      <c r="E176" s="273">
        <v>510</v>
      </c>
      <c r="F176" s="181" t="s">
        <v>39</v>
      </c>
      <c r="G176" s="229"/>
      <c r="H176" s="79">
        <f t="shared" si="278"/>
        <v>0</v>
      </c>
      <c r="I176" s="79">
        <f t="shared" si="279"/>
        <v>0</v>
      </c>
      <c r="J176" s="78"/>
      <c r="K176" s="78"/>
      <c r="L176" s="78"/>
      <c r="M176" s="75">
        <f t="shared" si="280"/>
        <v>0</v>
      </c>
      <c r="N176" s="45"/>
      <c r="O176" s="75"/>
      <c r="P176" s="75"/>
      <c r="Q176" s="75">
        <f>15000000-15000000</f>
        <v>0</v>
      </c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I176" s="25" t="e">
        <f t="shared" si="285"/>
        <v>#DIV/0!</v>
      </c>
      <c r="AJ176" s="75">
        <f t="shared" si="281"/>
        <v>0</v>
      </c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25" t="e">
        <f t="shared" si="286"/>
        <v>#DIV/0!</v>
      </c>
      <c r="BF176" s="75">
        <f t="shared" si="282"/>
        <v>0</v>
      </c>
      <c r="BG176" s="75">
        <f t="shared" si="287"/>
        <v>0</v>
      </c>
      <c r="BH176" s="75">
        <f t="shared" si="288"/>
        <v>0</v>
      </c>
      <c r="BI176" s="75"/>
      <c r="BJ176" s="75">
        <f t="shared" si="246"/>
        <v>0</v>
      </c>
      <c r="BK176" s="75">
        <f t="shared" si="289"/>
        <v>0</v>
      </c>
      <c r="BL176" s="75">
        <f t="shared" si="290"/>
        <v>0</v>
      </c>
      <c r="BM176" s="75">
        <f t="shared" si="291"/>
        <v>0</v>
      </c>
      <c r="BN176" s="75"/>
      <c r="BO176" s="75">
        <f t="shared" si="292"/>
        <v>0</v>
      </c>
      <c r="BP176" s="75">
        <f t="shared" si="293"/>
        <v>0</v>
      </c>
      <c r="BQ176" s="75">
        <f t="shared" si="294"/>
        <v>0</v>
      </c>
      <c r="BR176" s="75">
        <f t="shared" si="295"/>
        <v>0</v>
      </c>
      <c r="BS176" s="75">
        <f t="shared" si="296"/>
        <v>0</v>
      </c>
      <c r="BT176" s="75">
        <f t="shared" si="297"/>
        <v>0</v>
      </c>
      <c r="BU176" s="75">
        <f t="shared" si="298"/>
        <v>0</v>
      </c>
      <c r="BV176" s="75">
        <f t="shared" si="299"/>
        <v>0</v>
      </c>
      <c r="BW176" s="75">
        <f t="shared" si="300"/>
        <v>0</v>
      </c>
      <c r="BX176" s="75"/>
      <c r="BY176" s="75"/>
      <c r="BZ176" s="75">
        <f t="shared" si="318"/>
        <v>0</v>
      </c>
      <c r="CA176" s="25" t="e">
        <f t="shared" si="302"/>
        <v>#DIV/0!</v>
      </c>
      <c r="CB176" s="75">
        <f t="shared" si="283"/>
        <v>0</v>
      </c>
      <c r="CC176" s="75"/>
      <c r="CD176" s="75"/>
      <c r="CE176" s="75"/>
      <c r="CF176" s="75"/>
      <c r="CG176" s="75"/>
      <c r="CH176" s="75"/>
      <c r="CI176" s="75"/>
      <c r="CJ176" s="75"/>
      <c r="CK176" s="75"/>
      <c r="CL176" s="75"/>
      <c r="CM176" s="75"/>
      <c r="CN176" s="75"/>
      <c r="CO176" s="75"/>
      <c r="CP176" s="75"/>
      <c r="CQ176" s="75"/>
      <c r="CR176" s="75"/>
      <c r="CS176" s="75"/>
      <c r="CT176" s="75"/>
      <c r="CU176" s="75"/>
      <c r="CV176" s="75"/>
      <c r="CW176" s="25" t="e">
        <f t="shared" si="303"/>
        <v>#DIV/0!</v>
      </c>
      <c r="CX176" s="75">
        <f t="shared" si="284"/>
        <v>0</v>
      </c>
      <c r="CY176" s="75"/>
      <c r="CZ176" s="75"/>
      <c r="DA176" s="75"/>
      <c r="DB176" s="75">
        <f t="shared" si="247"/>
        <v>0</v>
      </c>
      <c r="DC176" s="75">
        <f t="shared" si="304"/>
        <v>0</v>
      </c>
      <c r="DD176" s="75">
        <f t="shared" si="305"/>
        <v>0</v>
      </c>
      <c r="DE176" s="75">
        <f t="shared" si="306"/>
        <v>0</v>
      </c>
      <c r="DF176" s="75"/>
      <c r="DG176" s="75">
        <f t="shared" si="307"/>
        <v>0</v>
      </c>
      <c r="DH176" s="75">
        <f t="shared" si="308"/>
        <v>0</v>
      </c>
      <c r="DI176" s="75"/>
      <c r="DJ176" s="75">
        <f t="shared" si="309"/>
        <v>0</v>
      </c>
      <c r="DK176" s="75">
        <f t="shared" si="310"/>
        <v>0</v>
      </c>
      <c r="DL176" s="75">
        <f t="shared" si="311"/>
        <v>0</v>
      </c>
      <c r="DM176" s="75">
        <f t="shared" si="312"/>
        <v>0</v>
      </c>
      <c r="DN176" s="75">
        <f t="shared" si="313"/>
        <v>0</v>
      </c>
      <c r="DO176" s="75">
        <f t="shared" si="314"/>
        <v>0</v>
      </c>
      <c r="DP176" s="75">
        <f t="shared" si="315"/>
        <v>0</v>
      </c>
      <c r="DQ176" s="75">
        <f t="shared" si="316"/>
        <v>0</v>
      </c>
      <c r="DR176" s="75">
        <f t="shared" si="317"/>
        <v>0</v>
      </c>
    </row>
    <row r="177" spans="1:122" ht="35.25" hidden="1" customHeight="1" x14ac:dyDescent="0.3">
      <c r="A177" s="246"/>
      <c r="B177" s="271" t="s">
        <v>38</v>
      </c>
      <c r="C177" s="272" t="s">
        <v>37</v>
      </c>
      <c r="D177" s="272" t="s">
        <v>36</v>
      </c>
      <c r="E177" s="273">
        <v>510</v>
      </c>
      <c r="F177" s="181" t="s">
        <v>35</v>
      </c>
      <c r="G177" s="78">
        <v>80000000</v>
      </c>
      <c r="H177" s="79">
        <f t="shared" si="278"/>
        <v>57876300</v>
      </c>
      <c r="I177" s="79">
        <f t="shared" si="279"/>
        <v>22123700</v>
      </c>
      <c r="J177" s="78"/>
      <c r="K177" s="78"/>
      <c r="L177" s="78"/>
      <c r="M177" s="75">
        <f t="shared" si="280"/>
        <v>80000000</v>
      </c>
      <c r="N177" s="45"/>
      <c r="O177" s="75"/>
      <c r="P177" s="75"/>
      <c r="Q177" s="75"/>
      <c r="R177" s="75"/>
      <c r="S177" s="75">
        <v>80000000</v>
      </c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I177" s="25">
        <f t="shared" si="285"/>
        <v>0.84095375000000006</v>
      </c>
      <c r="AJ177" s="75">
        <f t="shared" si="281"/>
        <v>67276300</v>
      </c>
      <c r="AK177" s="75"/>
      <c r="AL177" s="75"/>
      <c r="AM177" s="75"/>
      <c r="AN177" s="75"/>
      <c r="AO177" s="75"/>
      <c r="AP177" s="75">
        <f>+'[1]AGOSTO 2015'!$O$2289</f>
        <v>67276300</v>
      </c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25">
        <f t="shared" si="286"/>
        <v>0.15904624999999994</v>
      </c>
      <c r="BF177" s="75">
        <f t="shared" si="282"/>
        <v>12723700</v>
      </c>
      <c r="BG177" s="75">
        <f t="shared" si="287"/>
        <v>0</v>
      </c>
      <c r="BH177" s="75">
        <f t="shared" si="288"/>
        <v>0</v>
      </c>
      <c r="BI177" s="75"/>
      <c r="BJ177" s="75">
        <f t="shared" si="246"/>
        <v>0</v>
      </c>
      <c r="BK177" s="75">
        <f t="shared" si="289"/>
        <v>0</v>
      </c>
      <c r="BL177" s="75">
        <f t="shared" si="290"/>
        <v>12723700</v>
      </c>
      <c r="BM177" s="75">
        <f t="shared" si="291"/>
        <v>0</v>
      </c>
      <c r="BN177" s="75"/>
      <c r="BO177" s="75">
        <f t="shared" si="292"/>
        <v>0</v>
      </c>
      <c r="BP177" s="75">
        <f t="shared" si="293"/>
        <v>0</v>
      </c>
      <c r="BQ177" s="75">
        <f t="shared" si="294"/>
        <v>0</v>
      </c>
      <c r="BR177" s="75">
        <f t="shared" si="295"/>
        <v>0</v>
      </c>
      <c r="BS177" s="75">
        <f t="shared" si="296"/>
        <v>0</v>
      </c>
      <c r="BT177" s="75">
        <f t="shared" si="297"/>
        <v>0</v>
      </c>
      <c r="BU177" s="75">
        <f t="shared" si="298"/>
        <v>0</v>
      </c>
      <c r="BV177" s="75">
        <f t="shared" si="299"/>
        <v>0</v>
      </c>
      <c r="BW177" s="75">
        <f t="shared" si="300"/>
        <v>0</v>
      </c>
      <c r="BX177" s="75"/>
      <c r="BY177" s="75"/>
      <c r="BZ177" s="75">
        <f t="shared" si="318"/>
        <v>0</v>
      </c>
      <c r="CA177" s="25">
        <f t="shared" si="302"/>
        <v>0.72345375000000001</v>
      </c>
      <c r="CB177" s="75">
        <f t="shared" si="283"/>
        <v>57876300</v>
      </c>
      <c r="CC177" s="75"/>
      <c r="CD177" s="75"/>
      <c r="CE177" s="75"/>
      <c r="CF177" s="75"/>
      <c r="CG177" s="75"/>
      <c r="CH177" s="75">
        <f>+'[1]AGOSTO 2015'!$H$2287</f>
        <v>57876300</v>
      </c>
      <c r="CI177" s="75"/>
      <c r="CJ177" s="75"/>
      <c r="CK177" s="75"/>
      <c r="CL177" s="75"/>
      <c r="CM177" s="75"/>
      <c r="CN177" s="75"/>
      <c r="CO177" s="75"/>
      <c r="CP177" s="75"/>
      <c r="CQ177" s="75"/>
      <c r="CR177" s="75"/>
      <c r="CS177" s="75"/>
      <c r="CT177" s="75"/>
      <c r="CU177" s="75"/>
      <c r="CV177" s="75"/>
      <c r="CW177" s="25">
        <f t="shared" si="303"/>
        <v>0.27654624999999999</v>
      </c>
      <c r="CX177" s="75">
        <f t="shared" si="284"/>
        <v>22123700</v>
      </c>
      <c r="CY177" s="75"/>
      <c r="CZ177" s="75"/>
      <c r="DA177" s="75"/>
      <c r="DB177" s="75">
        <f t="shared" si="247"/>
        <v>0</v>
      </c>
      <c r="DC177" s="75">
        <f t="shared" si="304"/>
        <v>0</v>
      </c>
      <c r="DD177" s="75">
        <f t="shared" si="305"/>
        <v>22123700</v>
      </c>
      <c r="DE177" s="75">
        <f t="shared" si="306"/>
        <v>0</v>
      </c>
      <c r="DF177" s="75"/>
      <c r="DG177" s="75">
        <f t="shared" si="307"/>
        <v>0</v>
      </c>
      <c r="DH177" s="75">
        <f t="shared" si="308"/>
        <v>0</v>
      </c>
      <c r="DI177" s="75"/>
      <c r="DJ177" s="75">
        <f t="shared" si="309"/>
        <v>0</v>
      </c>
      <c r="DK177" s="75">
        <f t="shared" si="310"/>
        <v>0</v>
      </c>
      <c r="DL177" s="75">
        <f t="shared" si="311"/>
        <v>0</v>
      </c>
      <c r="DM177" s="75">
        <f t="shared" si="312"/>
        <v>0</v>
      </c>
      <c r="DN177" s="75">
        <f t="shared" si="313"/>
        <v>0</v>
      </c>
      <c r="DO177" s="75">
        <f t="shared" si="314"/>
        <v>0</v>
      </c>
      <c r="DP177" s="75">
        <f t="shared" si="315"/>
        <v>0</v>
      </c>
      <c r="DQ177" s="75">
        <f t="shared" si="316"/>
        <v>0</v>
      </c>
      <c r="DR177" s="75">
        <f t="shared" si="317"/>
        <v>0</v>
      </c>
    </row>
    <row r="178" spans="1:122" ht="25.5" hidden="1" customHeight="1" x14ac:dyDescent="0.3">
      <c r="A178" s="246"/>
      <c r="B178" s="271" t="s">
        <v>34</v>
      </c>
      <c r="C178" s="272" t="s">
        <v>33</v>
      </c>
      <c r="D178" s="272" t="s">
        <v>32</v>
      </c>
      <c r="E178" s="273">
        <v>510</v>
      </c>
      <c r="F178" s="181" t="s">
        <v>12</v>
      </c>
      <c r="G178" s="227">
        <v>120000000</v>
      </c>
      <c r="H178" s="79">
        <f t="shared" si="278"/>
        <v>0</v>
      </c>
      <c r="I178" s="79">
        <f t="shared" si="279"/>
        <v>1000000</v>
      </c>
      <c r="J178" s="78"/>
      <c r="K178" s="78"/>
      <c r="L178" s="78"/>
      <c r="M178" s="75">
        <f t="shared" si="280"/>
        <v>1000000</v>
      </c>
      <c r="N178" s="45"/>
      <c r="O178" s="75"/>
      <c r="P178" s="75"/>
      <c r="Q178" s="75"/>
      <c r="R178" s="75"/>
      <c r="S178" s="75">
        <v>1000000</v>
      </c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I178" s="25">
        <f t="shared" si="285"/>
        <v>0</v>
      </c>
      <c r="AJ178" s="75">
        <f t="shared" si="281"/>
        <v>0</v>
      </c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25">
        <f t="shared" si="286"/>
        <v>1</v>
      </c>
      <c r="BF178" s="75">
        <f t="shared" si="282"/>
        <v>1000000</v>
      </c>
      <c r="BG178" s="75">
        <f t="shared" si="287"/>
        <v>0</v>
      </c>
      <c r="BH178" s="75">
        <f t="shared" si="288"/>
        <v>0</v>
      </c>
      <c r="BI178" s="75"/>
      <c r="BJ178" s="75">
        <f t="shared" si="246"/>
        <v>0</v>
      </c>
      <c r="BK178" s="75">
        <f t="shared" si="289"/>
        <v>0</v>
      </c>
      <c r="BL178" s="75">
        <f t="shared" si="290"/>
        <v>1000000</v>
      </c>
      <c r="BM178" s="75">
        <f t="shared" si="291"/>
        <v>0</v>
      </c>
      <c r="BN178" s="75"/>
      <c r="BO178" s="75">
        <f t="shared" si="292"/>
        <v>0</v>
      </c>
      <c r="BP178" s="75">
        <f t="shared" si="293"/>
        <v>0</v>
      </c>
      <c r="BQ178" s="75">
        <f t="shared" si="294"/>
        <v>0</v>
      </c>
      <c r="BR178" s="75">
        <f t="shared" si="295"/>
        <v>0</v>
      </c>
      <c r="BS178" s="75">
        <f t="shared" si="296"/>
        <v>0</v>
      </c>
      <c r="BT178" s="75">
        <f t="shared" si="297"/>
        <v>0</v>
      </c>
      <c r="BU178" s="75">
        <f t="shared" si="298"/>
        <v>0</v>
      </c>
      <c r="BV178" s="75">
        <f t="shared" si="299"/>
        <v>0</v>
      </c>
      <c r="BW178" s="75">
        <f t="shared" si="300"/>
        <v>0</v>
      </c>
      <c r="BX178" s="75"/>
      <c r="BY178" s="75"/>
      <c r="BZ178" s="75">
        <f t="shared" si="318"/>
        <v>0</v>
      </c>
      <c r="CA178" s="25">
        <f t="shared" si="302"/>
        <v>0</v>
      </c>
      <c r="CB178" s="75">
        <f t="shared" si="283"/>
        <v>0</v>
      </c>
      <c r="CC178" s="75"/>
      <c r="CD178" s="75"/>
      <c r="CE178" s="75"/>
      <c r="CF178" s="75"/>
      <c r="CG178" s="75"/>
      <c r="CH178" s="75"/>
      <c r="CI178" s="75"/>
      <c r="CJ178" s="75"/>
      <c r="CK178" s="75"/>
      <c r="CL178" s="75"/>
      <c r="CM178" s="75"/>
      <c r="CN178" s="75"/>
      <c r="CO178" s="75"/>
      <c r="CP178" s="75"/>
      <c r="CQ178" s="75"/>
      <c r="CR178" s="75"/>
      <c r="CS178" s="75"/>
      <c r="CT178" s="75"/>
      <c r="CU178" s="75"/>
      <c r="CV178" s="75"/>
      <c r="CW178" s="25">
        <f t="shared" si="303"/>
        <v>1</v>
      </c>
      <c r="CX178" s="75">
        <f t="shared" si="284"/>
        <v>1000000</v>
      </c>
      <c r="CY178" s="75"/>
      <c r="CZ178" s="75"/>
      <c r="DA178" s="75"/>
      <c r="DB178" s="75">
        <f t="shared" si="247"/>
        <v>0</v>
      </c>
      <c r="DC178" s="75">
        <f t="shared" si="304"/>
        <v>0</v>
      </c>
      <c r="DD178" s="75">
        <f t="shared" si="305"/>
        <v>1000000</v>
      </c>
      <c r="DE178" s="75">
        <f t="shared" si="306"/>
        <v>0</v>
      </c>
      <c r="DF178" s="75"/>
      <c r="DG178" s="75">
        <f t="shared" si="307"/>
        <v>0</v>
      </c>
      <c r="DH178" s="75">
        <f t="shared" si="308"/>
        <v>0</v>
      </c>
      <c r="DI178" s="75"/>
      <c r="DJ178" s="75">
        <f t="shared" si="309"/>
        <v>0</v>
      </c>
      <c r="DK178" s="75">
        <f t="shared" si="310"/>
        <v>0</v>
      </c>
      <c r="DL178" s="75">
        <f t="shared" si="311"/>
        <v>0</v>
      </c>
      <c r="DM178" s="75">
        <f t="shared" si="312"/>
        <v>0</v>
      </c>
      <c r="DN178" s="75">
        <f t="shared" si="313"/>
        <v>0</v>
      </c>
      <c r="DO178" s="75">
        <f t="shared" si="314"/>
        <v>0</v>
      </c>
      <c r="DP178" s="75">
        <f t="shared" si="315"/>
        <v>0</v>
      </c>
      <c r="DQ178" s="75">
        <f t="shared" si="316"/>
        <v>0</v>
      </c>
      <c r="DR178" s="75">
        <f t="shared" si="317"/>
        <v>0</v>
      </c>
    </row>
    <row r="179" spans="1:122" ht="24" hidden="1" customHeight="1" x14ac:dyDescent="0.3">
      <c r="A179" s="246"/>
      <c r="B179" s="271"/>
      <c r="C179" s="272" t="s">
        <v>31</v>
      </c>
      <c r="D179" s="272" t="s">
        <v>30</v>
      </c>
      <c r="E179" s="273">
        <v>510</v>
      </c>
      <c r="F179" s="181" t="s">
        <v>12</v>
      </c>
      <c r="G179" s="228"/>
      <c r="H179" s="79">
        <f t="shared" si="278"/>
        <v>0</v>
      </c>
      <c r="I179" s="79">
        <f t="shared" si="279"/>
        <v>5000000</v>
      </c>
      <c r="J179" s="78"/>
      <c r="K179" s="78"/>
      <c r="L179" s="78"/>
      <c r="M179" s="75">
        <f t="shared" si="280"/>
        <v>5000000</v>
      </c>
      <c r="N179" s="45"/>
      <c r="O179" s="75"/>
      <c r="P179" s="75"/>
      <c r="Q179" s="75"/>
      <c r="R179" s="75"/>
      <c r="S179" s="75">
        <v>5000000</v>
      </c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I179" s="25">
        <f t="shared" si="285"/>
        <v>0</v>
      </c>
      <c r="AJ179" s="75">
        <f t="shared" si="281"/>
        <v>0</v>
      </c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25">
        <f t="shared" si="286"/>
        <v>1</v>
      </c>
      <c r="BF179" s="75">
        <f t="shared" si="282"/>
        <v>5000000</v>
      </c>
      <c r="BG179" s="75">
        <f t="shared" si="287"/>
        <v>0</v>
      </c>
      <c r="BH179" s="75">
        <f t="shared" si="288"/>
        <v>0</v>
      </c>
      <c r="BI179" s="75"/>
      <c r="BJ179" s="75">
        <f t="shared" si="246"/>
        <v>0</v>
      </c>
      <c r="BK179" s="75">
        <f t="shared" si="289"/>
        <v>0</v>
      </c>
      <c r="BL179" s="75">
        <f t="shared" si="290"/>
        <v>5000000</v>
      </c>
      <c r="BM179" s="75">
        <f t="shared" si="291"/>
        <v>0</v>
      </c>
      <c r="BN179" s="75"/>
      <c r="BO179" s="75">
        <f t="shared" si="292"/>
        <v>0</v>
      </c>
      <c r="BP179" s="75">
        <f t="shared" si="293"/>
        <v>0</v>
      </c>
      <c r="BQ179" s="75">
        <f t="shared" si="294"/>
        <v>0</v>
      </c>
      <c r="BR179" s="75">
        <f t="shared" si="295"/>
        <v>0</v>
      </c>
      <c r="BS179" s="75">
        <f t="shared" si="296"/>
        <v>0</v>
      </c>
      <c r="BT179" s="75">
        <f t="shared" si="297"/>
        <v>0</v>
      </c>
      <c r="BU179" s="75">
        <f t="shared" si="298"/>
        <v>0</v>
      </c>
      <c r="BV179" s="75">
        <f t="shared" si="299"/>
        <v>0</v>
      </c>
      <c r="BW179" s="75">
        <f t="shared" si="300"/>
        <v>0</v>
      </c>
      <c r="BX179" s="75"/>
      <c r="BY179" s="75"/>
      <c r="BZ179" s="75">
        <f t="shared" si="318"/>
        <v>0</v>
      </c>
      <c r="CA179" s="25">
        <f t="shared" si="302"/>
        <v>0</v>
      </c>
      <c r="CB179" s="75">
        <f t="shared" si="283"/>
        <v>0</v>
      </c>
      <c r="CC179" s="75"/>
      <c r="CD179" s="75"/>
      <c r="CE179" s="75"/>
      <c r="CF179" s="75"/>
      <c r="CG179" s="75"/>
      <c r="CH179" s="75"/>
      <c r="CI179" s="75"/>
      <c r="CJ179" s="75"/>
      <c r="CK179" s="75"/>
      <c r="CL179" s="75"/>
      <c r="CM179" s="75"/>
      <c r="CN179" s="75"/>
      <c r="CO179" s="75"/>
      <c r="CP179" s="75"/>
      <c r="CQ179" s="75"/>
      <c r="CR179" s="75"/>
      <c r="CS179" s="75"/>
      <c r="CT179" s="75"/>
      <c r="CU179" s="75"/>
      <c r="CV179" s="75"/>
      <c r="CW179" s="25">
        <f t="shared" si="303"/>
        <v>1</v>
      </c>
      <c r="CX179" s="75">
        <f t="shared" si="284"/>
        <v>5000000</v>
      </c>
      <c r="CY179" s="75"/>
      <c r="CZ179" s="75"/>
      <c r="DA179" s="75"/>
      <c r="DB179" s="75">
        <f t="shared" si="247"/>
        <v>0</v>
      </c>
      <c r="DC179" s="75">
        <f t="shared" si="304"/>
        <v>0</v>
      </c>
      <c r="DD179" s="75">
        <f t="shared" si="305"/>
        <v>5000000</v>
      </c>
      <c r="DE179" s="75">
        <f t="shared" si="306"/>
        <v>0</v>
      </c>
      <c r="DF179" s="75"/>
      <c r="DG179" s="75">
        <f t="shared" si="307"/>
        <v>0</v>
      </c>
      <c r="DH179" s="75">
        <f t="shared" si="308"/>
        <v>0</v>
      </c>
      <c r="DI179" s="75"/>
      <c r="DJ179" s="75">
        <f t="shared" si="309"/>
        <v>0</v>
      </c>
      <c r="DK179" s="75">
        <f t="shared" si="310"/>
        <v>0</v>
      </c>
      <c r="DL179" s="75">
        <f t="shared" si="311"/>
        <v>0</v>
      </c>
      <c r="DM179" s="75">
        <f t="shared" si="312"/>
        <v>0</v>
      </c>
      <c r="DN179" s="75">
        <f t="shared" si="313"/>
        <v>0</v>
      </c>
      <c r="DO179" s="75">
        <f t="shared" si="314"/>
        <v>0</v>
      </c>
      <c r="DP179" s="75">
        <f t="shared" si="315"/>
        <v>0</v>
      </c>
      <c r="DQ179" s="75">
        <f t="shared" si="316"/>
        <v>0</v>
      </c>
      <c r="DR179" s="75">
        <f t="shared" si="317"/>
        <v>0</v>
      </c>
    </row>
    <row r="180" spans="1:122" ht="51" hidden="1" customHeight="1" x14ac:dyDescent="0.3">
      <c r="A180" s="246"/>
      <c r="B180" s="271"/>
      <c r="C180" s="272" t="s">
        <v>29</v>
      </c>
      <c r="D180" s="272" t="s">
        <v>28</v>
      </c>
      <c r="E180" s="273">
        <v>510</v>
      </c>
      <c r="F180" s="181" t="s">
        <v>12</v>
      </c>
      <c r="G180" s="228"/>
      <c r="H180" s="79">
        <f t="shared" si="278"/>
        <v>23930000</v>
      </c>
      <c r="I180" s="79">
        <f t="shared" si="279"/>
        <v>87070000</v>
      </c>
      <c r="J180" s="78"/>
      <c r="K180" s="78"/>
      <c r="L180" s="78"/>
      <c r="M180" s="75">
        <f t="shared" si="280"/>
        <v>111000000</v>
      </c>
      <c r="N180" s="45"/>
      <c r="O180" s="75"/>
      <c r="P180" s="75"/>
      <c r="Q180" s="75"/>
      <c r="R180" s="75"/>
      <c r="S180" s="75">
        <v>111000000</v>
      </c>
      <c r="T180" s="75"/>
      <c r="U180" s="75"/>
      <c r="V180" s="75"/>
      <c r="W180" s="75"/>
      <c r="X180" s="75"/>
      <c r="Y180" s="75"/>
      <c r="Z180" s="75"/>
      <c r="AA180" s="75"/>
      <c r="AB180" s="75"/>
      <c r="AC180" s="75"/>
      <c r="AD180" s="75"/>
      <c r="AE180" s="75"/>
      <c r="AF180" s="75"/>
      <c r="AG180" s="75"/>
      <c r="AI180" s="25">
        <f t="shared" si="285"/>
        <v>0.27027027027027029</v>
      </c>
      <c r="AJ180" s="75">
        <f t="shared" si="281"/>
        <v>30000000</v>
      </c>
      <c r="AK180" s="75"/>
      <c r="AL180" s="75"/>
      <c r="AM180" s="75"/>
      <c r="AN180" s="75"/>
      <c r="AO180" s="75"/>
      <c r="AP180" s="75">
        <f>+'[1]AGOSTO 2015'!$O$2319</f>
        <v>30000000</v>
      </c>
      <c r="AQ180" s="75"/>
      <c r="AR180" s="75"/>
      <c r="AS180" s="75"/>
      <c r="AT180" s="75"/>
      <c r="AU180" s="75"/>
      <c r="AV180" s="75"/>
      <c r="AW180" s="75"/>
      <c r="AX180" s="75"/>
      <c r="AY180" s="75"/>
      <c r="AZ180" s="75"/>
      <c r="BA180" s="75"/>
      <c r="BB180" s="75"/>
      <c r="BC180" s="75"/>
      <c r="BD180" s="75"/>
      <c r="BE180" s="25">
        <f t="shared" si="286"/>
        <v>0.72972972972972971</v>
      </c>
      <c r="BF180" s="75">
        <f t="shared" si="282"/>
        <v>81000000</v>
      </c>
      <c r="BG180" s="75">
        <f t="shared" si="287"/>
        <v>0</v>
      </c>
      <c r="BH180" s="75">
        <f t="shared" si="288"/>
        <v>0</v>
      </c>
      <c r="BI180" s="75"/>
      <c r="BJ180" s="75">
        <f t="shared" si="246"/>
        <v>0</v>
      </c>
      <c r="BK180" s="75">
        <f t="shared" si="289"/>
        <v>0</v>
      </c>
      <c r="BL180" s="75">
        <f t="shared" si="290"/>
        <v>81000000</v>
      </c>
      <c r="BM180" s="75">
        <f t="shared" si="291"/>
        <v>0</v>
      </c>
      <c r="BN180" s="75"/>
      <c r="BO180" s="75">
        <f t="shared" si="292"/>
        <v>0</v>
      </c>
      <c r="BP180" s="75">
        <f t="shared" si="293"/>
        <v>0</v>
      </c>
      <c r="BQ180" s="75">
        <f t="shared" si="294"/>
        <v>0</v>
      </c>
      <c r="BR180" s="75">
        <f t="shared" si="295"/>
        <v>0</v>
      </c>
      <c r="BS180" s="75">
        <f t="shared" si="296"/>
        <v>0</v>
      </c>
      <c r="BT180" s="75">
        <f t="shared" si="297"/>
        <v>0</v>
      </c>
      <c r="BU180" s="75">
        <f t="shared" si="298"/>
        <v>0</v>
      </c>
      <c r="BV180" s="75">
        <f t="shared" si="299"/>
        <v>0</v>
      </c>
      <c r="BW180" s="75">
        <f t="shared" si="300"/>
        <v>0</v>
      </c>
      <c r="BX180" s="75"/>
      <c r="BY180" s="75"/>
      <c r="BZ180" s="75">
        <f t="shared" si="318"/>
        <v>0</v>
      </c>
      <c r="CA180" s="25">
        <f t="shared" si="302"/>
        <v>0.21558558558558558</v>
      </c>
      <c r="CB180" s="75">
        <f t="shared" si="283"/>
        <v>23930000</v>
      </c>
      <c r="CC180" s="75"/>
      <c r="CD180" s="75"/>
      <c r="CE180" s="75"/>
      <c r="CF180" s="75"/>
      <c r="CG180" s="75"/>
      <c r="CH180" s="75">
        <f>+'[1]AGOSTO 2015'!$H$2317</f>
        <v>23930000</v>
      </c>
      <c r="CI180" s="75"/>
      <c r="CJ180" s="75"/>
      <c r="CK180" s="75"/>
      <c r="CL180" s="75"/>
      <c r="CM180" s="75"/>
      <c r="CN180" s="75"/>
      <c r="CO180" s="75"/>
      <c r="CP180" s="75"/>
      <c r="CQ180" s="75"/>
      <c r="CR180" s="75"/>
      <c r="CS180" s="75"/>
      <c r="CT180" s="75"/>
      <c r="CU180" s="75"/>
      <c r="CV180" s="75"/>
      <c r="CW180" s="25">
        <f t="shared" si="303"/>
        <v>0.7844144144144144</v>
      </c>
      <c r="CX180" s="75">
        <f t="shared" si="284"/>
        <v>87070000</v>
      </c>
      <c r="CY180" s="75"/>
      <c r="CZ180" s="75"/>
      <c r="DA180" s="75"/>
      <c r="DB180" s="75">
        <f t="shared" si="247"/>
        <v>0</v>
      </c>
      <c r="DC180" s="75">
        <f t="shared" si="304"/>
        <v>0</v>
      </c>
      <c r="DD180" s="75">
        <f t="shared" si="305"/>
        <v>87070000</v>
      </c>
      <c r="DE180" s="75">
        <f t="shared" si="306"/>
        <v>0</v>
      </c>
      <c r="DF180" s="75"/>
      <c r="DG180" s="75">
        <f t="shared" si="307"/>
        <v>0</v>
      </c>
      <c r="DH180" s="75">
        <f t="shared" si="308"/>
        <v>0</v>
      </c>
      <c r="DI180" s="75"/>
      <c r="DJ180" s="75">
        <f t="shared" si="309"/>
        <v>0</v>
      </c>
      <c r="DK180" s="75">
        <f t="shared" si="310"/>
        <v>0</v>
      </c>
      <c r="DL180" s="75">
        <f t="shared" si="311"/>
        <v>0</v>
      </c>
      <c r="DM180" s="75">
        <f t="shared" si="312"/>
        <v>0</v>
      </c>
      <c r="DN180" s="75">
        <f t="shared" si="313"/>
        <v>0</v>
      </c>
      <c r="DO180" s="75">
        <f t="shared" si="314"/>
        <v>0</v>
      </c>
      <c r="DP180" s="75">
        <f t="shared" si="315"/>
        <v>0</v>
      </c>
      <c r="DQ180" s="75">
        <f t="shared" si="316"/>
        <v>0</v>
      </c>
      <c r="DR180" s="75">
        <f t="shared" si="317"/>
        <v>0</v>
      </c>
    </row>
    <row r="181" spans="1:122" ht="23.25" hidden="1" customHeight="1" x14ac:dyDescent="0.3">
      <c r="A181" s="246"/>
      <c r="B181" s="271"/>
      <c r="C181" s="272" t="s">
        <v>27</v>
      </c>
      <c r="D181" s="272" t="s">
        <v>26</v>
      </c>
      <c r="E181" s="273">
        <v>510</v>
      </c>
      <c r="F181" s="181" t="s">
        <v>12</v>
      </c>
      <c r="G181" s="228"/>
      <c r="H181" s="79">
        <f t="shared" si="278"/>
        <v>0</v>
      </c>
      <c r="I181" s="79">
        <f t="shared" si="279"/>
        <v>3000000</v>
      </c>
      <c r="J181" s="78"/>
      <c r="K181" s="78"/>
      <c r="L181" s="78"/>
      <c r="M181" s="75">
        <f t="shared" si="280"/>
        <v>3000000</v>
      </c>
      <c r="N181" s="45"/>
      <c r="O181" s="75"/>
      <c r="P181" s="75"/>
      <c r="Q181" s="75"/>
      <c r="R181" s="75"/>
      <c r="S181" s="75">
        <v>3000000</v>
      </c>
      <c r="T181" s="75"/>
      <c r="U181" s="75"/>
      <c r="V181" s="75"/>
      <c r="W181" s="75"/>
      <c r="X181" s="75"/>
      <c r="Y181" s="75"/>
      <c r="Z181" s="75"/>
      <c r="AA181" s="75"/>
      <c r="AB181" s="75"/>
      <c r="AC181" s="75"/>
      <c r="AD181" s="75"/>
      <c r="AE181" s="75"/>
      <c r="AF181" s="75"/>
      <c r="AG181" s="75"/>
      <c r="AI181" s="25">
        <f t="shared" si="285"/>
        <v>0</v>
      </c>
      <c r="AJ181" s="75">
        <f t="shared" si="281"/>
        <v>0</v>
      </c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  <c r="AY181" s="75"/>
      <c r="AZ181" s="75"/>
      <c r="BA181" s="75"/>
      <c r="BB181" s="75"/>
      <c r="BC181" s="75"/>
      <c r="BD181" s="75"/>
      <c r="BE181" s="25">
        <f t="shared" si="286"/>
        <v>1</v>
      </c>
      <c r="BF181" s="75">
        <f t="shared" si="282"/>
        <v>3000000</v>
      </c>
      <c r="BG181" s="75">
        <f t="shared" si="287"/>
        <v>0</v>
      </c>
      <c r="BH181" s="75">
        <f t="shared" si="288"/>
        <v>0</v>
      </c>
      <c r="BI181" s="75"/>
      <c r="BJ181" s="75">
        <f t="shared" si="246"/>
        <v>0</v>
      </c>
      <c r="BK181" s="75">
        <f t="shared" si="289"/>
        <v>0</v>
      </c>
      <c r="BL181" s="75">
        <f t="shared" si="290"/>
        <v>3000000</v>
      </c>
      <c r="BM181" s="75">
        <f t="shared" si="291"/>
        <v>0</v>
      </c>
      <c r="BN181" s="75"/>
      <c r="BO181" s="75">
        <f t="shared" si="292"/>
        <v>0</v>
      </c>
      <c r="BP181" s="75">
        <f t="shared" si="293"/>
        <v>0</v>
      </c>
      <c r="BQ181" s="75">
        <f t="shared" si="294"/>
        <v>0</v>
      </c>
      <c r="BR181" s="75">
        <f t="shared" si="295"/>
        <v>0</v>
      </c>
      <c r="BS181" s="75">
        <f t="shared" si="296"/>
        <v>0</v>
      </c>
      <c r="BT181" s="75">
        <f t="shared" si="297"/>
        <v>0</v>
      </c>
      <c r="BU181" s="75">
        <f t="shared" si="298"/>
        <v>0</v>
      </c>
      <c r="BV181" s="75">
        <f t="shared" si="299"/>
        <v>0</v>
      </c>
      <c r="BW181" s="75">
        <f t="shared" si="300"/>
        <v>0</v>
      </c>
      <c r="BX181" s="75"/>
      <c r="BY181" s="75"/>
      <c r="BZ181" s="75">
        <f t="shared" si="318"/>
        <v>0</v>
      </c>
      <c r="CA181" s="25">
        <f t="shared" si="302"/>
        <v>0</v>
      </c>
      <c r="CB181" s="75">
        <f t="shared" si="283"/>
        <v>0</v>
      </c>
      <c r="CC181" s="75"/>
      <c r="CD181" s="75"/>
      <c r="CE181" s="75"/>
      <c r="CF181" s="75"/>
      <c r="CG181" s="75"/>
      <c r="CH181" s="75"/>
      <c r="CI181" s="75"/>
      <c r="CJ181" s="75"/>
      <c r="CK181" s="75"/>
      <c r="CL181" s="75"/>
      <c r="CM181" s="75"/>
      <c r="CN181" s="75"/>
      <c r="CO181" s="75"/>
      <c r="CP181" s="75"/>
      <c r="CQ181" s="75"/>
      <c r="CR181" s="75"/>
      <c r="CS181" s="75"/>
      <c r="CT181" s="75"/>
      <c r="CU181" s="75"/>
      <c r="CV181" s="75"/>
      <c r="CW181" s="25">
        <f t="shared" si="303"/>
        <v>1</v>
      </c>
      <c r="CX181" s="75">
        <f t="shared" si="284"/>
        <v>3000000</v>
      </c>
      <c r="CY181" s="75"/>
      <c r="CZ181" s="75"/>
      <c r="DA181" s="75"/>
      <c r="DB181" s="75">
        <f t="shared" si="247"/>
        <v>0</v>
      </c>
      <c r="DC181" s="75">
        <f t="shared" si="304"/>
        <v>0</v>
      </c>
      <c r="DD181" s="75">
        <f t="shared" si="305"/>
        <v>3000000</v>
      </c>
      <c r="DE181" s="75">
        <f t="shared" si="306"/>
        <v>0</v>
      </c>
      <c r="DF181" s="75"/>
      <c r="DG181" s="75">
        <f t="shared" si="307"/>
        <v>0</v>
      </c>
      <c r="DH181" s="75">
        <f t="shared" si="308"/>
        <v>0</v>
      </c>
      <c r="DI181" s="75"/>
      <c r="DJ181" s="75">
        <f t="shared" si="309"/>
        <v>0</v>
      </c>
      <c r="DK181" s="75">
        <f t="shared" si="310"/>
        <v>0</v>
      </c>
      <c r="DL181" s="75">
        <f t="shared" si="311"/>
        <v>0</v>
      </c>
      <c r="DM181" s="75">
        <f t="shared" si="312"/>
        <v>0</v>
      </c>
      <c r="DN181" s="75">
        <f t="shared" si="313"/>
        <v>0</v>
      </c>
      <c r="DO181" s="75">
        <f t="shared" si="314"/>
        <v>0</v>
      </c>
      <c r="DP181" s="75">
        <f t="shared" si="315"/>
        <v>0</v>
      </c>
      <c r="DQ181" s="75">
        <f t="shared" si="316"/>
        <v>0</v>
      </c>
      <c r="DR181" s="75">
        <f t="shared" si="317"/>
        <v>0</v>
      </c>
    </row>
    <row r="182" spans="1:122" ht="23.25" hidden="1" customHeight="1" x14ac:dyDescent="0.3">
      <c r="A182" s="246"/>
      <c r="B182" s="271"/>
      <c r="C182" s="272" t="s">
        <v>25</v>
      </c>
      <c r="D182" s="272" t="s">
        <v>24</v>
      </c>
      <c r="E182" s="273">
        <v>510</v>
      </c>
      <c r="F182" s="181" t="s">
        <v>12</v>
      </c>
      <c r="G182" s="229"/>
      <c r="H182" s="79">
        <f t="shared" si="278"/>
        <v>80144495</v>
      </c>
      <c r="I182" s="79">
        <f t="shared" si="279"/>
        <v>19855505</v>
      </c>
      <c r="J182" s="78"/>
      <c r="K182" s="78"/>
      <c r="L182" s="78"/>
      <c r="M182" s="75">
        <f t="shared" si="280"/>
        <v>100000000</v>
      </c>
      <c r="N182" s="4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>
        <v>100000000</v>
      </c>
      <c r="AC182" s="75"/>
      <c r="AD182" s="75"/>
      <c r="AE182" s="75"/>
      <c r="AF182" s="75"/>
      <c r="AG182" s="75"/>
      <c r="AI182" s="25">
        <f t="shared" si="285"/>
        <v>0.99939999999999996</v>
      </c>
      <c r="AJ182" s="75">
        <f t="shared" si="281"/>
        <v>99940000</v>
      </c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>
        <f>+'[1]AGOSTO 2015'!$G$2329</f>
        <v>99940000</v>
      </c>
      <c r="AZ182" s="75"/>
      <c r="BA182" s="75"/>
      <c r="BB182" s="75"/>
      <c r="BC182" s="75"/>
      <c r="BD182" s="75"/>
      <c r="BE182" s="25">
        <f t="shared" si="286"/>
        <v>6.0000000000004494E-4</v>
      </c>
      <c r="BF182" s="75">
        <f t="shared" si="282"/>
        <v>60000</v>
      </c>
      <c r="BG182" s="75">
        <f t="shared" si="287"/>
        <v>0</v>
      </c>
      <c r="BH182" s="75">
        <f t="shared" si="288"/>
        <v>0</v>
      </c>
      <c r="BI182" s="75"/>
      <c r="BJ182" s="75">
        <f t="shared" si="246"/>
        <v>0</v>
      </c>
      <c r="BK182" s="75">
        <f t="shared" si="289"/>
        <v>0</v>
      </c>
      <c r="BL182" s="75">
        <f t="shared" si="290"/>
        <v>0</v>
      </c>
      <c r="BM182" s="75">
        <f t="shared" si="291"/>
        <v>0</v>
      </c>
      <c r="BN182" s="75"/>
      <c r="BO182" s="75">
        <f t="shared" si="292"/>
        <v>0</v>
      </c>
      <c r="BP182" s="75">
        <f t="shared" si="293"/>
        <v>0</v>
      </c>
      <c r="BQ182" s="75">
        <f t="shared" si="294"/>
        <v>0</v>
      </c>
      <c r="BR182" s="75">
        <f t="shared" si="295"/>
        <v>0</v>
      </c>
      <c r="BS182" s="75">
        <f t="shared" si="296"/>
        <v>0</v>
      </c>
      <c r="BT182" s="75">
        <f t="shared" si="297"/>
        <v>0</v>
      </c>
      <c r="BU182" s="75">
        <f t="shared" si="298"/>
        <v>60000</v>
      </c>
      <c r="BV182" s="75">
        <f t="shared" si="299"/>
        <v>0</v>
      </c>
      <c r="BW182" s="75">
        <f t="shared" si="300"/>
        <v>0</v>
      </c>
      <c r="BX182" s="75"/>
      <c r="BY182" s="75"/>
      <c r="BZ182" s="75">
        <f t="shared" si="318"/>
        <v>0</v>
      </c>
      <c r="CA182" s="25">
        <f t="shared" si="302"/>
        <v>0.80144495000000004</v>
      </c>
      <c r="CB182" s="75">
        <f t="shared" si="283"/>
        <v>80144495</v>
      </c>
      <c r="CC182" s="75"/>
      <c r="CD182" s="75"/>
      <c r="CE182" s="75"/>
      <c r="CF182" s="75"/>
      <c r="CG182" s="75"/>
      <c r="CH182" s="75"/>
      <c r="CI182" s="75"/>
      <c r="CJ182" s="75"/>
      <c r="CK182" s="75"/>
      <c r="CL182" s="75"/>
      <c r="CM182" s="75"/>
      <c r="CN182" s="75"/>
      <c r="CO182" s="75"/>
      <c r="CP182" s="75"/>
      <c r="CQ182" s="75">
        <f>+'[1]AGOSTO 2015'!$H$2329</f>
        <v>80144495</v>
      </c>
      <c r="CR182" s="75"/>
      <c r="CS182" s="75"/>
      <c r="CT182" s="75"/>
      <c r="CU182" s="75"/>
      <c r="CV182" s="75"/>
      <c r="CW182" s="25">
        <f t="shared" si="303"/>
        <v>0.19855504999999996</v>
      </c>
      <c r="CX182" s="75">
        <f t="shared" si="284"/>
        <v>19855505</v>
      </c>
      <c r="CY182" s="75"/>
      <c r="CZ182" s="75"/>
      <c r="DA182" s="75"/>
      <c r="DB182" s="75">
        <f t="shared" si="247"/>
        <v>0</v>
      </c>
      <c r="DC182" s="75">
        <f t="shared" si="304"/>
        <v>0</v>
      </c>
      <c r="DD182" s="75">
        <f t="shared" si="305"/>
        <v>0</v>
      </c>
      <c r="DE182" s="75">
        <f t="shared" si="306"/>
        <v>0</v>
      </c>
      <c r="DF182" s="75"/>
      <c r="DG182" s="75">
        <f t="shared" si="307"/>
        <v>0</v>
      </c>
      <c r="DH182" s="75">
        <f t="shared" si="308"/>
        <v>0</v>
      </c>
      <c r="DI182" s="75"/>
      <c r="DJ182" s="75">
        <f t="shared" si="309"/>
        <v>0</v>
      </c>
      <c r="DK182" s="75">
        <f t="shared" si="310"/>
        <v>0</v>
      </c>
      <c r="DL182" s="75">
        <f t="shared" si="311"/>
        <v>0</v>
      </c>
      <c r="DM182" s="75">
        <f t="shared" si="312"/>
        <v>19855505</v>
      </c>
      <c r="DN182" s="75">
        <f t="shared" si="313"/>
        <v>0</v>
      </c>
      <c r="DO182" s="75">
        <f t="shared" si="314"/>
        <v>0</v>
      </c>
      <c r="DP182" s="75">
        <f t="shared" si="315"/>
        <v>0</v>
      </c>
      <c r="DQ182" s="75">
        <f t="shared" si="316"/>
        <v>0</v>
      </c>
      <c r="DR182" s="75">
        <f t="shared" si="317"/>
        <v>0</v>
      </c>
    </row>
    <row r="183" spans="1:122" ht="38.25" hidden="1" customHeight="1" x14ac:dyDescent="0.3">
      <c r="A183" s="246"/>
      <c r="B183" s="271" t="s">
        <v>23</v>
      </c>
      <c r="C183" s="272" t="s">
        <v>22</v>
      </c>
      <c r="D183" s="272" t="s">
        <v>21</v>
      </c>
      <c r="E183" s="273">
        <v>510</v>
      </c>
      <c r="F183" s="181" t="s">
        <v>12</v>
      </c>
      <c r="G183" s="78">
        <v>5000000</v>
      </c>
      <c r="H183" s="79">
        <f t="shared" si="278"/>
        <v>0</v>
      </c>
      <c r="I183" s="79">
        <f t="shared" si="279"/>
        <v>0</v>
      </c>
      <c r="J183" s="78"/>
      <c r="K183" s="78"/>
      <c r="L183" s="78"/>
      <c r="M183" s="75">
        <f t="shared" si="280"/>
        <v>0</v>
      </c>
      <c r="N183" s="45"/>
      <c r="O183" s="75"/>
      <c r="P183" s="75"/>
      <c r="Q183" s="75"/>
      <c r="R183" s="75"/>
      <c r="S183" s="75">
        <f>5000000-5000000</f>
        <v>0</v>
      </c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I183" s="25" t="e">
        <f t="shared" si="285"/>
        <v>#DIV/0!</v>
      </c>
      <c r="AJ183" s="75">
        <f t="shared" si="281"/>
        <v>0</v>
      </c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25" t="e">
        <f t="shared" si="286"/>
        <v>#DIV/0!</v>
      </c>
      <c r="BF183" s="75">
        <f t="shared" si="282"/>
        <v>0</v>
      </c>
      <c r="BG183" s="75">
        <f t="shared" si="287"/>
        <v>0</v>
      </c>
      <c r="BH183" s="75">
        <f t="shared" si="288"/>
        <v>0</v>
      </c>
      <c r="BI183" s="75"/>
      <c r="BJ183" s="75">
        <f t="shared" si="246"/>
        <v>0</v>
      </c>
      <c r="BK183" s="75">
        <f t="shared" si="289"/>
        <v>0</v>
      </c>
      <c r="BL183" s="75">
        <f t="shared" si="290"/>
        <v>0</v>
      </c>
      <c r="BM183" s="75">
        <f t="shared" si="291"/>
        <v>0</v>
      </c>
      <c r="BN183" s="75"/>
      <c r="BO183" s="75">
        <f t="shared" si="292"/>
        <v>0</v>
      </c>
      <c r="BP183" s="75">
        <f t="shared" si="293"/>
        <v>0</v>
      </c>
      <c r="BQ183" s="75">
        <f t="shared" si="294"/>
        <v>0</v>
      </c>
      <c r="BR183" s="75">
        <f t="shared" si="295"/>
        <v>0</v>
      </c>
      <c r="BS183" s="75">
        <f t="shared" si="296"/>
        <v>0</v>
      </c>
      <c r="BT183" s="75">
        <f t="shared" si="297"/>
        <v>0</v>
      </c>
      <c r="BU183" s="75">
        <f t="shared" si="298"/>
        <v>0</v>
      </c>
      <c r="BV183" s="75">
        <f t="shared" si="299"/>
        <v>0</v>
      </c>
      <c r="BW183" s="75">
        <f t="shared" si="300"/>
        <v>0</v>
      </c>
      <c r="BX183" s="75"/>
      <c r="BY183" s="75"/>
      <c r="BZ183" s="75">
        <f t="shared" si="318"/>
        <v>0</v>
      </c>
      <c r="CA183" s="25" t="e">
        <f t="shared" si="302"/>
        <v>#DIV/0!</v>
      </c>
      <c r="CB183" s="75">
        <f t="shared" si="283"/>
        <v>0</v>
      </c>
      <c r="CC183" s="75"/>
      <c r="CD183" s="75"/>
      <c r="CE183" s="75"/>
      <c r="CF183" s="75"/>
      <c r="CG183" s="75"/>
      <c r="CH183" s="75"/>
      <c r="CI183" s="75"/>
      <c r="CJ183" s="75"/>
      <c r="CK183" s="75"/>
      <c r="CL183" s="75"/>
      <c r="CM183" s="75"/>
      <c r="CN183" s="75"/>
      <c r="CO183" s="75"/>
      <c r="CP183" s="75"/>
      <c r="CQ183" s="75"/>
      <c r="CR183" s="75"/>
      <c r="CS183" s="75"/>
      <c r="CT183" s="75"/>
      <c r="CU183" s="75"/>
      <c r="CV183" s="75"/>
      <c r="CW183" s="25" t="e">
        <f t="shared" si="303"/>
        <v>#DIV/0!</v>
      </c>
      <c r="CX183" s="75">
        <f t="shared" si="284"/>
        <v>0</v>
      </c>
      <c r="CY183" s="75"/>
      <c r="CZ183" s="75"/>
      <c r="DA183" s="75"/>
      <c r="DB183" s="75">
        <f t="shared" si="247"/>
        <v>0</v>
      </c>
      <c r="DC183" s="75">
        <f t="shared" si="304"/>
        <v>0</v>
      </c>
      <c r="DD183" s="75">
        <f t="shared" si="305"/>
        <v>0</v>
      </c>
      <c r="DE183" s="75">
        <f t="shared" si="306"/>
        <v>0</v>
      </c>
      <c r="DF183" s="75"/>
      <c r="DG183" s="75">
        <f t="shared" si="307"/>
        <v>0</v>
      </c>
      <c r="DH183" s="75">
        <f t="shared" si="308"/>
        <v>0</v>
      </c>
      <c r="DI183" s="75"/>
      <c r="DJ183" s="75">
        <f t="shared" si="309"/>
        <v>0</v>
      </c>
      <c r="DK183" s="75">
        <f t="shared" si="310"/>
        <v>0</v>
      </c>
      <c r="DL183" s="75">
        <f t="shared" si="311"/>
        <v>0</v>
      </c>
      <c r="DM183" s="75">
        <f t="shared" si="312"/>
        <v>0</v>
      </c>
      <c r="DN183" s="75">
        <f t="shared" si="313"/>
        <v>0</v>
      </c>
      <c r="DO183" s="75">
        <f t="shared" si="314"/>
        <v>0</v>
      </c>
      <c r="DP183" s="75">
        <f t="shared" si="315"/>
        <v>0</v>
      </c>
      <c r="DQ183" s="75">
        <f t="shared" si="316"/>
        <v>0</v>
      </c>
      <c r="DR183" s="75">
        <f t="shared" si="317"/>
        <v>0</v>
      </c>
    </row>
    <row r="184" spans="1:122" ht="36.75" hidden="1" customHeight="1" x14ac:dyDescent="0.3">
      <c r="A184" s="246"/>
      <c r="B184" s="271" t="s">
        <v>20</v>
      </c>
      <c r="C184" s="272" t="s">
        <v>19</v>
      </c>
      <c r="D184" s="272" t="s">
        <v>18</v>
      </c>
      <c r="E184" s="273">
        <v>310</v>
      </c>
      <c r="F184" s="181" t="s">
        <v>12</v>
      </c>
      <c r="G184" s="227">
        <v>287000000</v>
      </c>
      <c r="H184" s="79">
        <f t="shared" si="278"/>
        <v>158967073</v>
      </c>
      <c r="I184" s="79">
        <f t="shared" si="279"/>
        <v>114377348</v>
      </c>
      <c r="J184" s="78"/>
      <c r="K184" s="78"/>
      <c r="L184" s="78"/>
      <c r="M184" s="75">
        <f t="shared" si="280"/>
        <v>273344421</v>
      </c>
      <c r="N184" s="4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>
        <f>273344421</f>
        <v>273344421</v>
      </c>
      <c r="AD184" s="75"/>
      <c r="AE184" s="75"/>
      <c r="AF184" s="75"/>
      <c r="AG184" s="75"/>
      <c r="AI184" s="25">
        <f t="shared" si="285"/>
        <v>1</v>
      </c>
      <c r="AJ184" s="75">
        <f t="shared" si="281"/>
        <v>273344421</v>
      </c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>
        <f>+'[5]FEBRERO 2015'!$X$334</f>
        <v>273344421</v>
      </c>
      <c r="BA184" s="75"/>
      <c r="BB184" s="75"/>
      <c r="BC184" s="75"/>
      <c r="BD184" s="75"/>
      <c r="BE184" s="25">
        <f t="shared" si="286"/>
        <v>0</v>
      </c>
      <c r="BF184" s="75">
        <f t="shared" si="282"/>
        <v>0</v>
      </c>
      <c r="BG184" s="75">
        <f t="shared" si="287"/>
        <v>0</v>
      </c>
      <c r="BH184" s="75">
        <f t="shared" si="288"/>
        <v>0</v>
      </c>
      <c r="BI184" s="75"/>
      <c r="BJ184" s="75">
        <f t="shared" si="246"/>
        <v>0</v>
      </c>
      <c r="BK184" s="75">
        <f t="shared" si="289"/>
        <v>0</v>
      </c>
      <c r="BL184" s="75">
        <f t="shared" si="290"/>
        <v>0</v>
      </c>
      <c r="BM184" s="75">
        <f t="shared" si="291"/>
        <v>0</v>
      </c>
      <c r="BN184" s="75"/>
      <c r="BO184" s="75">
        <f t="shared" si="292"/>
        <v>0</v>
      </c>
      <c r="BP184" s="75">
        <f t="shared" si="293"/>
        <v>0</v>
      </c>
      <c r="BQ184" s="75">
        <f t="shared" si="294"/>
        <v>0</v>
      </c>
      <c r="BR184" s="75">
        <f t="shared" si="295"/>
        <v>0</v>
      </c>
      <c r="BS184" s="75">
        <f t="shared" si="296"/>
        <v>0</v>
      </c>
      <c r="BT184" s="75">
        <f t="shared" si="297"/>
        <v>0</v>
      </c>
      <c r="BU184" s="75">
        <f t="shared" si="298"/>
        <v>0</v>
      </c>
      <c r="BV184" s="75">
        <f t="shared" si="299"/>
        <v>0</v>
      </c>
      <c r="BW184" s="75">
        <f t="shared" si="300"/>
        <v>0</v>
      </c>
      <c r="BX184" s="75"/>
      <c r="BY184" s="75"/>
      <c r="BZ184" s="75">
        <f t="shared" si="318"/>
        <v>0</v>
      </c>
      <c r="CA184" s="25">
        <f t="shared" si="302"/>
        <v>0.58156326153808713</v>
      </c>
      <c r="CB184" s="75">
        <f t="shared" si="283"/>
        <v>158967073</v>
      </c>
      <c r="CC184" s="75"/>
      <c r="CD184" s="75"/>
      <c r="CE184" s="75"/>
      <c r="CF184" s="75"/>
      <c r="CG184" s="75"/>
      <c r="CH184" s="75"/>
      <c r="CI184" s="75"/>
      <c r="CJ184" s="75"/>
      <c r="CK184" s="75"/>
      <c r="CL184" s="75"/>
      <c r="CM184" s="75"/>
      <c r="CN184" s="75"/>
      <c r="CO184" s="75"/>
      <c r="CP184" s="75"/>
      <c r="CQ184" s="75"/>
      <c r="CR184" s="75">
        <f>+'[1]AGOSTO 2015'!$H$701</f>
        <v>158967073</v>
      </c>
      <c r="CS184" s="75"/>
      <c r="CT184" s="75"/>
      <c r="CU184" s="75"/>
      <c r="CV184" s="75"/>
      <c r="CW184" s="25">
        <f t="shared" si="303"/>
        <v>0.41843673846191287</v>
      </c>
      <c r="CX184" s="75">
        <f t="shared" si="284"/>
        <v>114377348</v>
      </c>
      <c r="CY184" s="75"/>
      <c r="CZ184" s="75"/>
      <c r="DA184" s="75"/>
      <c r="DB184" s="75">
        <f t="shared" si="247"/>
        <v>0</v>
      </c>
      <c r="DC184" s="75">
        <f t="shared" si="304"/>
        <v>0</v>
      </c>
      <c r="DD184" s="75">
        <f t="shared" si="305"/>
        <v>0</v>
      </c>
      <c r="DE184" s="75">
        <f t="shared" si="306"/>
        <v>0</v>
      </c>
      <c r="DF184" s="75"/>
      <c r="DG184" s="75">
        <f t="shared" si="307"/>
        <v>0</v>
      </c>
      <c r="DH184" s="75">
        <f t="shared" si="308"/>
        <v>0</v>
      </c>
      <c r="DI184" s="75"/>
      <c r="DJ184" s="75">
        <f t="shared" si="309"/>
        <v>0</v>
      </c>
      <c r="DK184" s="75">
        <f t="shared" si="310"/>
        <v>0</v>
      </c>
      <c r="DL184" s="75">
        <f t="shared" si="311"/>
        <v>0</v>
      </c>
      <c r="DM184" s="75">
        <f t="shared" si="312"/>
        <v>0</v>
      </c>
      <c r="DN184" s="75">
        <f t="shared" si="313"/>
        <v>114377348</v>
      </c>
      <c r="DO184" s="75">
        <f t="shared" si="314"/>
        <v>0</v>
      </c>
      <c r="DP184" s="75">
        <f t="shared" si="315"/>
        <v>0</v>
      </c>
      <c r="DQ184" s="75">
        <f t="shared" si="316"/>
        <v>0</v>
      </c>
      <c r="DR184" s="75">
        <f t="shared" si="317"/>
        <v>0</v>
      </c>
    </row>
    <row r="185" spans="1:122" ht="45" hidden="1" customHeight="1" x14ac:dyDescent="0.3">
      <c r="A185" s="246"/>
      <c r="B185" s="271"/>
      <c r="C185" s="272" t="s">
        <v>17</v>
      </c>
      <c r="D185" s="272" t="s">
        <v>16</v>
      </c>
      <c r="E185" s="273">
        <v>310</v>
      </c>
      <c r="F185" s="181" t="s">
        <v>15</v>
      </c>
      <c r="G185" s="229"/>
      <c r="H185" s="79">
        <f t="shared" si="278"/>
        <v>8586672</v>
      </c>
      <c r="I185" s="79">
        <f t="shared" si="279"/>
        <v>21413328</v>
      </c>
      <c r="J185" s="78"/>
      <c r="K185" s="78"/>
      <c r="L185" s="78"/>
      <c r="M185" s="75">
        <f t="shared" si="280"/>
        <v>30000000</v>
      </c>
      <c r="N185" s="77"/>
      <c r="O185" s="77"/>
      <c r="P185" s="77"/>
      <c r="Q185" s="77"/>
      <c r="R185" s="77"/>
      <c r="S185" s="77"/>
      <c r="T185" s="77"/>
      <c r="U185" s="77"/>
      <c r="V185" s="77"/>
      <c r="W185" s="76"/>
      <c r="X185" s="76"/>
      <c r="Y185" s="76"/>
      <c r="Z185" s="76"/>
      <c r="AA185" s="76"/>
      <c r="AB185" s="77"/>
      <c r="AC185" s="77"/>
      <c r="AD185" s="77"/>
      <c r="AE185" s="77"/>
      <c r="AF185" s="77"/>
      <c r="AG185" s="75">
        <f>10000000+4000000+16000000</f>
        <v>30000000</v>
      </c>
      <c r="AI185" s="25">
        <f t="shared" si="285"/>
        <v>0.66666666666666663</v>
      </c>
      <c r="AJ185" s="75">
        <f t="shared" si="281"/>
        <v>20000000</v>
      </c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>
        <f>+'[2]JULIO 2015'!$G$716</f>
        <v>20000000</v>
      </c>
      <c r="BE185" s="25">
        <f t="shared" si="286"/>
        <v>0.33333333333333337</v>
      </c>
      <c r="BF185" s="75">
        <f t="shared" si="282"/>
        <v>10000000</v>
      </c>
      <c r="BG185" s="75">
        <f t="shared" si="287"/>
        <v>0</v>
      </c>
      <c r="BH185" s="75">
        <f t="shared" si="288"/>
        <v>0</v>
      </c>
      <c r="BI185" s="75"/>
      <c r="BJ185" s="75">
        <f t="shared" si="246"/>
        <v>0</v>
      </c>
      <c r="BK185" s="75">
        <f t="shared" si="289"/>
        <v>0</v>
      </c>
      <c r="BL185" s="75">
        <f t="shared" si="290"/>
        <v>0</v>
      </c>
      <c r="BM185" s="75">
        <f t="shared" si="291"/>
        <v>0</v>
      </c>
      <c r="BN185" s="75"/>
      <c r="BO185" s="75">
        <f t="shared" si="292"/>
        <v>0</v>
      </c>
      <c r="BP185" s="75">
        <f t="shared" si="293"/>
        <v>0</v>
      </c>
      <c r="BQ185" s="75">
        <f t="shared" si="294"/>
        <v>0</v>
      </c>
      <c r="BR185" s="75">
        <f t="shared" si="295"/>
        <v>0</v>
      </c>
      <c r="BS185" s="75">
        <f t="shared" si="296"/>
        <v>0</v>
      </c>
      <c r="BT185" s="75">
        <f t="shared" si="297"/>
        <v>0</v>
      </c>
      <c r="BU185" s="75">
        <f t="shared" si="298"/>
        <v>0</v>
      </c>
      <c r="BV185" s="75">
        <f t="shared" si="299"/>
        <v>0</v>
      </c>
      <c r="BW185" s="75">
        <f t="shared" si="300"/>
        <v>0</v>
      </c>
      <c r="BX185" s="75"/>
      <c r="BY185" s="75"/>
      <c r="BZ185" s="75">
        <f t="shared" si="318"/>
        <v>10000000</v>
      </c>
      <c r="CA185" s="25">
        <f t="shared" si="302"/>
        <v>0.28622239999999999</v>
      </c>
      <c r="CB185" s="75">
        <f t="shared" si="283"/>
        <v>8586672</v>
      </c>
      <c r="CC185" s="75"/>
      <c r="CD185" s="75"/>
      <c r="CE185" s="75"/>
      <c r="CF185" s="75"/>
      <c r="CG185" s="75"/>
      <c r="CH185" s="75"/>
      <c r="CI185" s="75"/>
      <c r="CJ185" s="75"/>
      <c r="CK185" s="75"/>
      <c r="CL185" s="75"/>
      <c r="CM185" s="75"/>
      <c r="CN185" s="75"/>
      <c r="CO185" s="75"/>
      <c r="CP185" s="75"/>
      <c r="CQ185" s="75"/>
      <c r="CR185" s="75"/>
      <c r="CS185" s="75"/>
      <c r="CT185" s="75"/>
      <c r="CU185" s="75"/>
      <c r="CV185" s="75">
        <f>+'[1]AGOSTO 2015'!$H$805</f>
        <v>8586672</v>
      </c>
      <c r="CW185" s="25">
        <f t="shared" si="303"/>
        <v>0.71377760000000001</v>
      </c>
      <c r="CX185" s="75">
        <f t="shared" si="284"/>
        <v>21413328</v>
      </c>
      <c r="CY185" s="75"/>
      <c r="CZ185" s="75"/>
      <c r="DA185" s="75"/>
      <c r="DB185" s="75">
        <f t="shared" si="247"/>
        <v>0</v>
      </c>
      <c r="DC185" s="75">
        <f t="shared" si="304"/>
        <v>0</v>
      </c>
      <c r="DD185" s="75">
        <f t="shared" si="305"/>
        <v>0</v>
      </c>
      <c r="DE185" s="75">
        <f t="shared" si="306"/>
        <v>0</v>
      </c>
      <c r="DF185" s="75"/>
      <c r="DG185" s="75">
        <f t="shared" si="307"/>
        <v>0</v>
      </c>
      <c r="DH185" s="75">
        <f t="shared" si="308"/>
        <v>0</v>
      </c>
      <c r="DI185" s="75"/>
      <c r="DJ185" s="75">
        <f t="shared" si="309"/>
        <v>0</v>
      </c>
      <c r="DK185" s="75">
        <f t="shared" si="310"/>
        <v>0</v>
      </c>
      <c r="DL185" s="75">
        <f t="shared" si="311"/>
        <v>0</v>
      </c>
      <c r="DM185" s="75">
        <f t="shared" si="312"/>
        <v>0</v>
      </c>
      <c r="DN185" s="75">
        <f t="shared" si="313"/>
        <v>0</v>
      </c>
      <c r="DO185" s="75">
        <f t="shared" si="314"/>
        <v>0</v>
      </c>
      <c r="DP185" s="75">
        <f t="shared" si="315"/>
        <v>0</v>
      </c>
      <c r="DQ185" s="75">
        <f t="shared" si="316"/>
        <v>0</v>
      </c>
      <c r="DR185" s="75">
        <f t="shared" si="317"/>
        <v>21413328</v>
      </c>
    </row>
    <row r="186" spans="1:122" ht="24" hidden="1" customHeight="1" x14ac:dyDescent="0.3">
      <c r="A186" s="246"/>
      <c r="B186" s="271"/>
      <c r="C186" s="272" t="s">
        <v>14</v>
      </c>
      <c r="D186" s="272" t="s">
        <v>13</v>
      </c>
      <c r="E186" s="273">
        <v>111</v>
      </c>
      <c r="F186" s="181" t="s">
        <v>12</v>
      </c>
      <c r="G186" s="78"/>
      <c r="H186" s="79">
        <f t="shared" si="278"/>
        <v>0</v>
      </c>
      <c r="I186" s="79">
        <f t="shared" ref="I186" si="319">M186-H186</f>
        <v>0</v>
      </c>
      <c r="J186" s="78"/>
      <c r="K186" s="78"/>
      <c r="L186" s="78"/>
      <c r="M186" s="75">
        <f>SUM(O186:AG186)</f>
        <v>0</v>
      </c>
      <c r="N186" s="77"/>
      <c r="O186" s="77"/>
      <c r="P186" s="77"/>
      <c r="Q186" s="77">
        <f>417803755-417803755</f>
        <v>0</v>
      </c>
      <c r="R186" s="77"/>
      <c r="S186" s="77"/>
      <c r="T186" s="77"/>
      <c r="U186" s="77"/>
      <c r="V186" s="77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5"/>
      <c r="AI186" s="25" t="e">
        <f t="shared" si="285"/>
        <v>#DIV/0!</v>
      </c>
      <c r="AJ186" s="75">
        <f t="shared" ref="AJ186" si="320">SUM(AK186:BD186)</f>
        <v>0</v>
      </c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25" t="e">
        <f t="shared" si="286"/>
        <v>#DIV/0!</v>
      </c>
      <c r="BF186" s="75">
        <f t="shared" ref="BF186" si="321">SUM(BG186:BZ186)</f>
        <v>0</v>
      </c>
      <c r="BG186" s="75">
        <f t="shared" si="287"/>
        <v>0</v>
      </c>
      <c r="BH186" s="75">
        <f t="shared" si="288"/>
        <v>0</v>
      </c>
      <c r="BI186" s="75"/>
      <c r="BJ186" s="75">
        <f t="shared" si="246"/>
        <v>0</v>
      </c>
      <c r="BK186" s="75">
        <f t="shared" si="289"/>
        <v>0</v>
      </c>
      <c r="BL186" s="75">
        <f t="shared" si="290"/>
        <v>0</v>
      </c>
      <c r="BM186" s="75">
        <f t="shared" si="291"/>
        <v>0</v>
      </c>
      <c r="BN186" s="75"/>
      <c r="BO186" s="75">
        <f t="shared" si="292"/>
        <v>0</v>
      </c>
      <c r="BP186" s="75">
        <f t="shared" si="293"/>
        <v>0</v>
      </c>
      <c r="BQ186" s="75">
        <f t="shared" si="294"/>
        <v>0</v>
      </c>
      <c r="BR186" s="75">
        <f t="shared" si="295"/>
        <v>0</v>
      </c>
      <c r="BS186" s="75">
        <f t="shared" si="296"/>
        <v>0</v>
      </c>
      <c r="BT186" s="75">
        <f t="shared" si="297"/>
        <v>0</v>
      </c>
      <c r="BU186" s="75">
        <f t="shared" si="298"/>
        <v>0</v>
      </c>
      <c r="BV186" s="75">
        <f t="shared" si="299"/>
        <v>0</v>
      </c>
      <c r="BW186" s="75">
        <f t="shared" si="300"/>
        <v>0</v>
      </c>
      <c r="BX186" s="75"/>
      <c r="BY186" s="75"/>
      <c r="BZ186" s="75">
        <f t="shared" si="318"/>
        <v>0</v>
      </c>
      <c r="CA186" s="25" t="e">
        <f t="shared" si="302"/>
        <v>#DIV/0!</v>
      </c>
      <c r="CB186" s="75">
        <f t="shared" ref="CB186" si="322">SUM(CC186:CV186)</f>
        <v>0</v>
      </c>
      <c r="CC186" s="75"/>
      <c r="CD186" s="75"/>
      <c r="CE186" s="75"/>
      <c r="CF186" s="75"/>
      <c r="CG186" s="75"/>
      <c r="CH186" s="75"/>
      <c r="CI186" s="75"/>
      <c r="CJ186" s="75"/>
      <c r="CK186" s="75"/>
      <c r="CL186" s="75"/>
      <c r="CM186" s="75"/>
      <c r="CN186" s="75"/>
      <c r="CO186" s="75"/>
      <c r="CP186" s="75"/>
      <c r="CQ186" s="75"/>
      <c r="CR186" s="75"/>
      <c r="CS186" s="75"/>
      <c r="CT186" s="75"/>
      <c r="CU186" s="75"/>
      <c r="CV186" s="75"/>
      <c r="CW186" s="25" t="e">
        <f t="shared" si="303"/>
        <v>#DIV/0!</v>
      </c>
      <c r="CX186" s="75">
        <f t="shared" ref="CX186" si="323">SUM(CY186:DR186)</f>
        <v>0</v>
      </c>
      <c r="CY186" s="75"/>
      <c r="CZ186" s="75"/>
      <c r="DA186" s="75"/>
      <c r="DB186" s="75">
        <f t="shared" si="247"/>
        <v>0</v>
      </c>
      <c r="DC186" s="75">
        <f t="shared" si="304"/>
        <v>0</v>
      </c>
      <c r="DD186" s="75">
        <f t="shared" si="305"/>
        <v>0</v>
      </c>
      <c r="DE186" s="75">
        <f t="shared" si="306"/>
        <v>0</v>
      </c>
      <c r="DF186" s="75"/>
      <c r="DG186" s="75">
        <f t="shared" si="307"/>
        <v>0</v>
      </c>
      <c r="DH186" s="75">
        <f t="shared" si="308"/>
        <v>0</v>
      </c>
      <c r="DI186" s="75"/>
      <c r="DJ186" s="75">
        <f t="shared" si="309"/>
        <v>0</v>
      </c>
      <c r="DK186" s="75">
        <f t="shared" si="310"/>
        <v>0</v>
      </c>
      <c r="DL186" s="75">
        <f t="shared" si="311"/>
        <v>0</v>
      </c>
      <c r="DM186" s="75">
        <f t="shared" si="312"/>
        <v>0</v>
      </c>
      <c r="DN186" s="75">
        <f t="shared" si="313"/>
        <v>0</v>
      </c>
      <c r="DO186" s="75">
        <f t="shared" si="314"/>
        <v>0</v>
      </c>
      <c r="DP186" s="75">
        <f t="shared" si="315"/>
        <v>0</v>
      </c>
      <c r="DQ186" s="75">
        <f t="shared" si="316"/>
        <v>0</v>
      </c>
      <c r="DR186" s="75">
        <f t="shared" si="317"/>
        <v>0</v>
      </c>
    </row>
    <row r="187" spans="1:122" s="68" customFormat="1" ht="25.5" customHeight="1" thickTop="1" thickBot="1" x14ac:dyDescent="0.3">
      <c r="A187" s="74"/>
      <c r="B187" s="276" t="s">
        <v>570</v>
      </c>
      <c r="C187" s="277"/>
      <c r="D187" s="277"/>
      <c r="E187" s="278"/>
      <c r="F187" s="181"/>
      <c r="G187" s="72">
        <f>SUM(G122:G186)</f>
        <v>20835000000</v>
      </c>
      <c r="H187" s="72">
        <f>SUM(H122:H186)</f>
        <v>4183375247</v>
      </c>
      <c r="I187" s="72">
        <f>SUM(I122:I186)</f>
        <v>6977596856</v>
      </c>
      <c r="J187" s="71"/>
      <c r="K187" s="71"/>
      <c r="L187" s="71"/>
      <c r="M187" s="69">
        <f t="shared" ref="M187:AG187" si="324">SUM(M122:M186)</f>
        <v>11160972103</v>
      </c>
      <c r="N187" s="69">
        <f t="shared" si="324"/>
        <v>0</v>
      </c>
      <c r="O187" s="69">
        <f t="shared" si="324"/>
        <v>0</v>
      </c>
      <c r="P187" s="69">
        <f t="shared" si="324"/>
        <v>0</v>
      </c>
      <c r="Q187" s="69">
        <f t="shared" si="324"/>
        <v>9036421581</v>
      </c>
      <c r="R187" s="69">
        <f t="shared" si="324"/>
        <v>20011334</v>
      </c>
      <c r="S187" s="69">
        <f t="shared" si="324"/>
        <v>625000000</v>
      </c>
      <c r="T187" s="69">
        <f t="shared" si="324"/>
        <v>0</v>
      </c>
      <c r="U187" s="69">
        <f t="shared" si="324"/>
        <v>0</v>
      </c>
      <c r="V187" s="69">
        <f t="shared" si="324"/>
        <v>0</v>
      </c>
      <c r="W187" s="69">
        <f t="shared" si="324"/>
        <v>1940856</v>
      </c>
      <c r="X187" s="69">
        <f t="shared" si="324"/>
        <v>3438802</v>
      </c>
      <c r="Y187" s="69">
        <f t="shared" si="324"/>
        <v>318664514</v>
      </c>
      <c r="Z187" s="69">
        <f t="shared" si="324"/>
        <v>0</v>
      </c>
      <c r="AA187" s="69">
        <f t="shared" si="324"/>
        <v>0</v>
      </c>
      <c r="AB187" s="69">
        <f t="shared" si="324"/>
        <v>214719551</v>
      </c>
      <c r="AC187" s="69">
        <f t="shared" si="324"/>
        <v>397080402</v>
      </c>
      <c r="AD187" s="69">
        <f t="shared" si="324"/>
        <v>0</v>
      </c>
      <c r="AE187" s="69">
        <f t="shared" si="324"/>
        <v>0</v>
      </c>
      <c r="AF187" s="69">
        <f t="shared" si="324"/>
        <v>92524043</v>
      </c>
      <c r="AG187" s="69">
        <f t="shared" si="324"/>
        <v>451171020</v>
      </c>
      <c r="AI187" s="70">
        <f t="shared" si="285"/>
        <v>0.48285421505098441</v>
      </c>
      <c r="AJ187" s="69">
        <f>SUM(AJ122:AJ186)</f>
        <v>5389122424</v>
      </c>
      <c r="AK187" s="69">
        <f>SUM(AK122:AK186)</f>
        <v>0</v>
      </c>
      <c r="AL187" s="69">
        <f>SUM(AL122:AL186)</f>
        <v>0</v>
      </c>
      <c r="AM187" s="69"/>
      <c r="AN187" s="69">
        <f t="shared" ref="AN187:BD187" si="325">SUM(AN122:AN186)</f>
        <v>4084443156</v>
      </c>
      <c r="AO187" s="69">
        <f t="shared" si="325"/>
        <v>17503290</v>
      </c>
      <c r="AP187" s="69">
        <f t="shared" si="325"/>
        <v>476166457</v>
      </c>
      <c r="AQ187" s="69">
        <f t="shared" si="325"/>
        <v>0</v>
      </c>
      <c r="AR187" s="69">
        <f t="shared" si="325"/>
        <v>0</v>
      </c>
      <c r="AS187" s="69">
        <f t="shared" si="325"/>
        <v>0</v>
      </c>
      <c r="AT187" s="69">
        <f t="shared" si="325"/>
        <v>0</v>
      </c>
      <c r="AU187" s="69">
        <f t="shared" si="325"/>
        <v>0</v>
      </c>
      <c r="AV187" s="69">
        <f t="shared" si="325"/>
        <v>40655038</v>
      </c>
      <c r="AW187" s="69">
        <f t="shared" si="325"/>
        <v>0</v>
      </c>
      <c r="AX187" s="69">
        <f t="shared" si="325"/>
        <v>0</v>
      </c>
      <c r="AY187" s="69">
        <f t="shared" si="325"/>
        <v>99940000</v>
      </c>
      <c r="AZ187" s="69">
        <f t="shared" si="325"/>
        <v>306078593</v>
      </c>
      <c r="BA187" s="69">
        <f t="shared" si="325"/>
        <v>0</v>
      </c>
      <c r="BB187" s="69">
        <f t="shared" si="325"/>
        <v>0</v>
      </c>
      <c r="BC187" s="69">
        <f t="shared" si="325"/>
        <v>92524043</v>
      </c>
      <c r="BD187" s="69">
        <f t="shared" si="325"/>
        <v>271811847</v>
      </c>
      <c r="BE187" s="70">
        <f t="shared" si="286"/>
        <v>0.51714578494901553</v>
      </c>
      <c r="BF187" s="69">
        <f>SUM(BF122:BF186)</f>
        <v>5771849679</v>
      </c>
      <c r="BG187" s="69">
        <f>SUM(BG122:BG186)</f>
        <v>0</v>
      </c>
      <c r="BH187" s="69">
        <f>SUM(BH122:BH186)</f>
        <v>0</v>
      </c>
      <c r="BI187" s="69"/>
      <c r="BJ187" s="69">
        <f t="shared" ref="BJ187:BZ187" si="326">SUM(BJ122:BJ186)</f>
        <v>4951978425</v>
      </c>
      <c r="BK187" s="69">
        <f t="shared" si="326"/>
        <v>2508044</v>
      </c>
      <c r="BL187" s="69">
        <f t="shared" si="326"/>
        <v>148833543</v>
      </c>
      <c r="BM187" s="69">
        <f t="shared" si="326"/>
        <v>0</v>
      </c>
      <c r="BN187" s="69">
        <f t="shared" si="326"/>
        <v>0</v>
      </c>
      <c r="BO187" s="69">
        <f t="shared" si="326"/>
        <v>0</v>
      </c>
      <c r="BP187" s="69">
        <f t="shared" si="326"/>
        <v>1940856</v>
      </c>
      <c r="BQ187" s="69">
        <f t="shared" si="326"/>
        <v>3438802</v>
      </c>
      <c r="BR187" s="69">
        <f t="shared" si="326"/>
        <v>278009476</v>
      </c>
      <c r="BS187" s="69">
        <f t="shared" si="326"/>
        <v>0</v>
      </c>
      <c r="BT187" s="69">
        <f t="shared" si="326"/>
        <v>0</v>
      </c>
      <c r="BU187" s="69">
        <f t="shared" si="326"/>
        <v>114779551</v>
      </c>
      <c r="BV187" s="69">
        <f t="shared" si="326"/>
        <v>91001809</v>
      </c>
      <c r="BW187" s="69">
        <f t="shared" si="326"/>
        <v>0</v>
      </c>
      <c r="BX187" s="69">
        <f t="shared" si="326"/>
        <v>0</v>
      </c>
      <c r="BY187" s="69">
        <f t="shared" si="326"/>
        <v>0</v>
      </c>
      <c r="BZ187" s="69">
        <f t="shared" si="326"/>
        <v>179359173</v>
      </c>
      <c r="CA187" s="70">
        <f t="shared" si="302"/>
        <v>0.37482176358773756</v>
      </c>
      <c r="CB187" s="69">
        <f>SUM(CB122:CB186)</f>
        <v>4183375247</v>
      </c>
      <c r="CC187" s="69">
        <f>SUM(CC122:CC186)</f>
        <v>0</v>
      </c>
      <c r="CD187" s="69">
        <f>SUM(CD122:CD186)</f>
        <v>0</v>
      </c>
      <c r="CE187" s="69"/>
      <c r="CF187" s="69">
        <f t="shared" ref="CF187:CV187" si="327">SUM(CF122:CF186)</f>
        <v>3332132850</v>
      </c>
      <c r="CG187" s="69">
        <f t="shared" si="327"/>
        <v>12550540</v>
      </c>
      <c r="CH187" s="69">
        <f t="shared" si="327"/>
        <v>457897782</v>
      </c>
      <c r="CI187" s="69">
        <f t="shared" si="327"/>
        <v>0</v>
      </c>
      <c r="CJ187" s="69">
        <f t="shared" si="327"/>
        <v>0</v>
      </c>
      <c r="CK187" s="69">
        <f t="shared" si="327"/>
        <v>0</v>
      </c>
      <c r="CL187" s="69">
        <f t="shared" si="327"/>
        <v>0</v>
      </c>
      <c r="CM187" s="69">
        <f t="shared" si="327"/>
        <v>0</v>
      </c>
      <c r="CN187" s="69">
        <f t="shared" si="327"/>
        <v>40655038</v>
      </c>
      <c r="CO187" s="69">
        <f t="shared" si="327"/>
        <v>0</v>
      </c>
      <c r="CP187" s="69">
        <f t="shared" si="327"/>
        <v>0</v>
      </c>
      <c r="CQ187" s="69">
        <f t="shared" si="327"/>
        <v>80144495</v>
      </c>
      <c r="CR187" s="69">
        <f t="shared" si="327"/>
        <v>166943542</v>
      </c>
      <c r="CS187" s="69">
        <f t="shared" si="327"/>
        <v>0</v>
      </c>
      <c r="CT187" s="69">
        <f t="shared" si="327"/>
        <v>0</v>
      </c>
      <c r="CU187" s="69">
        <f t="shared" si="327"/>
        <v>0</v>
      </c>
      <c r="CV187" s="69">
        <f t="shared" si="327"/>
        <v>93051000</v>
      </c>
      <c r="CW187" s="70">
        <f t="shared" si="303"/>
        <v>0.62517823641226244</v>
      </c>
      <c r="CX187" s="69">
        <f t="shared" ref="CX187:DR187" si="328">SUM(CX122:CX186)</f>
        <v>6977596856</v>
      </c>
      <c r="CY187" s="69">
        <f t="shared" si="328"/>
        <v>0</v>
      </c>
      <c r="CZ187" s="69">
        <f t="shared" si="328"/>
        <v>0</v>
      </c>
      <c r="DA187" s="69">
        <f t="shared" si="328"/>
        <v>0</v>
      </c>
      <c r="DB187" s="69">
        <f t="shared" si="328"/>
        <v>5704288731</v>
      </c>
      <c r="DC187" s="69">
        <f t="shared" si="328"/>
        <v>7460794</v>
      </c>
      <c r="DD187" s="69">
        <f t="shared" si="328"/>
        <v>167102218</v>
      </c>
      <c r="DE187" s="69">
        <f t="shared" si="328"/>
        <v>0</v>
      </c>
      <c r="DF187" s="69">
        <f t="shared" si="328"/>
        <v>0</v>
      </c>
      <c r="DG187" s="69">
        <f t="shared" si="328"/>
        <v>0</v>
      </c>
      <c r="DH187" s="69">
        <f t="shared" si="328"/>
        <v>1940856</v>
      </c>
      <c r="DI187" s="69">
        <f t="shared" si="328"/>
        <v>3438802</v>
      </c>
      <c r="DJ187" s="69">
        <f t="shared" si="328"/>
        <v>278009476</v>
      </c>
      <c r="DK187" s="69">
        <f t="shared" si="328"/>
        <v>0</v>
      </c>
      <c r="DL187" s="69">
        <f t="shared" si="328"/>
        <v>0</v>
      </c>
      <c r="DM187" s="69">
        <f t="shared" si="328"/>
        <v>134575056</v>
      </c>
      <c r="DN187" s="69">
        <f t="shared" si="328"/>
        <v>230136860</v>
      </c>
      <c r="DO187" s="69">
        <f t="shared" si="328"/>
        <v>0</v>
      </c>
      <c r="DP187" s="69">
        <f t="shared" si="328"/>
        <v>0</v>
      </c>
      <c r="DQ187" s="69">
        <f t="shared" si="328"/>
        <v>92524043</v>
      </c>
      <c r="DR187" s="69">
        <f t="shared" si="328"/>
        <v>358120020</v>
      </c>
    </row>
    <row r="188" spans="1:122" ht="12" customHeight="1" thickTop="1" x14ac:dyDescent="0.25"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5"/>
      <c r="N188" s="65"/>
      <c r="O188" s="65"/>
      <c r="P188" s="65"/>
      <c r="Q188" s="66"/>
      <c r="R188" s="65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I188" s="62"/>
      <c r="AJ188" s="59"/>
      <c r="AK188" s="59"/>
      <c r="AL188" s="59"/>
      <c r="AM188" s="59"/>
      <c r="AN188" s="59"/>
      <c r="AO188" s="59"/>
      <c r="AP188" s="59"/>
      <c r="AQ188" s="59"/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59"/>
      <c r="BD188" s="59"/>
      <c r="BE188" s="62"/>
      <c r="BF188" s="59"/>
      <c r="BG188" s="59"/>
      <c r="BH188" s="59"/>
      <c r="BI188" s="59"/>
      <c r="BJ188" s="59"/>
      <c r="BK188" s="59"/>
      <c r="BL188" s="59"/>
      <c r="BM188" s="59"/>
      <c r="BN188" s="59"/>
      <c r="BO188" s="59"/>
      <c r="BP188" s="59"/>
      <c r="BQ188" s="59"/>
      <c r="BR188" s="59"/>
      <c r="BS188" s="59"/>
      <c r="BT188" s="59"/>
      <c r="BU188" s="59"/>
      <c r="BV188" s="59"/>
      <c r="BW188" s="59"/>
      <c r="BX188" s="59"/>
      <c r="BY188" s="59"/>
      <c r="BZ188" s="59"/>
      <c r="CA188" s="62"/>
      <c r="CB188" s="63"/>
      <c r="CC188" s="59"/>
      <c r="CD188" s="59"/>
      <c r="CE188" s="59"/>
      <c r="CF188" s="59"/>
      <c r="CG188" s="59"/>
      <c r="CH188" s="59"/>
      <c r="CI188" s="59"/>
      <c r="CJ188" s="59"/>
      <c r="CK188" s="59"/>
      <c r="CL188" s="59"/>
      <c r="CM188" s="59"/>
      <c r="CN188" s="59"/>
      <c r="CO188" s="59"/>
      <c r="CP188" s="59"/>
      <c r="CQ188" s="59"/>
      <c r="CR188" s="59"/>
      <c r="CS188" s="59"/>
      <c r="CT188" s="59"/>
      <c r="CU188" s="59"/>
      <c r="CV188" s="59"/>
      <c r="CW188" s="62"/>
      <c r="CX188" s="59"/>
      <c r="CY188" s="59"/>
      <c r="CZ188" s="59"/>
      <c r="DA188" s="59"/>
      <c r="DB188" s="59"/>
      <c r="DC188" s="59"/>
      <c r="DD188" s="59"/>
      <c r="DE188" s="59"/>
      <c r="DF188" s="59"/>
      <c r="DG188" s="59"/>
      <c r="DH188" s="59"/>
      <c r="DI188" s="59"/>
      <c r="DJ188" s="59"/>
      <c r="DK188" s="59"/>
      <c r="DL188" s="59"/>
      <c r="DM188" s="59"/>
      <c r="DN188" s="59"/>
      <c r="DO188" s="59"/>
      <c r="DP188" s="59"/>
      <c r="DQ188" s="59"/>
      <c r="DR188" s="59"/>
    </row>
    <row r="189" spans="1:122" ht="19.5" customHeight="1" x14ac:dyDescent="0.25">
      <c r="C189" s="250" t="s">
        <v>10</v>
      </c>
      <c r="D189" s="251"/>
      <c r="E189" s="252"/>
      <c r="F189" s="61"/>
      <c r="G189" s="19">
        <f>G34+G67+G103+G121+G187</f>
        <v>31953000000</v>
      </c>
      <c r="H189" s="19">
        <f>H34+H67+H103+H121+H187</f>
        <v>11616159919</v>
      </c>
      <c r="I189" s="19">
        <f>I34+I67+I103+I121+I187</f>
        <v>13401433555</v>
      </c>
      <c r="J189" s="61"/>
      <c r="K189" s="61"/>
      <c r="L189" s="61"/>
      <c r="M189" s="59">
        <f t="shared" ref="M189:AG189" si="329">M34+M67+M103+M121+M187</f>
        <v>25017593474</v>
      </c>
      <c r="N189" s="59">
        <f t="shared" si="329"/>
        <v>104079469</v>
      </c>
      <c r="O189" s="59">
        <f t="shared" si="329"/>
        <v>134533656</v>
      </c>
      <c r="P189" s="59">
        <f t="shared" si="329"/>
        <v>396726534</v>
      </c>
      <c r="Q189" s="59">
        <f t="shared" si="329"/>
        <v>9862143612</v>
      </c>
      <c r="R189" s="59">
        <f t="shared" si="329"/>
        <v>92895874</v>
      </c>
      <c r="S189" s="59">
        <f t="shared" si="329"/>
        <v>2509180877</v>
      </c>
      <c r="T189" s="59">
        <f t="shared" si="329"/>
        <v>1300000000</v>
      </c>
      <c r="U189" s="59">
        <f t="shared" si="329"/>
        <v>102810569</v>
      </c>
      <c r="V189" s="59">
        <f t="shared" si="329"/>
        <v>219471348</v>
      </c>
      <c r="W189" s="59">
        <f t="shared" si="329"/>
        <v>1940856</v>
      </c>
      <c r="X189" s="59">
        <f t="shared" si="329"/>
        <v>3438802</v>
      </c>
      <c r="Y189" s="59">
        <f t="shared" si="329"/>
        <v>318664514</v>
      </c>
      <c r="Z189" s="59">
        <f t="shared" si="329"/>
        <v>4114878115</v>
      </c>
      <c r="AA189" s="59">
        <f t="shared" si="329"/>
        <v>1077016006</v>
      </c>
      <c r="AB189" s="59">
        <f t="shared" si="329"/>
        <v>1074256830</v>
      </c>
      <c r="AC189" s="59">
        <f t="shared" si="329"/>
        <v>963627417</v>
      </c>
      <c r="AD189" s="59">
        <f t="shared" si="329"/>
        <v>1181607989</v>
      </c>
      <c r="AE189" s="59">
        <f t="shared" si="329"/>
        <v>80844085</v>
      </c>
      <c r="AF189" s="59">
        <f t="shared" si="329"/>
        <v>92524043</v>
      </c>
      <c r="AG189" s="59">
        <f t="shared" si="329"/>
        <v>1386952878</v>
      </c>
      <c r="AI189" s="60">
        <f>+AJ189/M189</f>
        <v>0.66034756685006646</v>
      </c>
      <c r="AJ189" s="59">
        <f t="shared" ref="AJ189:BD189" si="330">AJ34+AJ67+AJ103+AJ121+AJ187</f>
        <v>16520306979</v>
      </c>
      <c r="AK189" s="59">
        <f t="shared" si="330"/>
        <v>103688299</v>
      </c>
      <c r="AL189" s="59">
        <f t="shared" si="330"/>
        <v>133268976</v>
      </c>
      <c r="AM189" s="59">
        <f t="shared" si="330"/>
        <v>396726534</v>
      </c>
      <c r="AN189" s="59">
        <f t="shared" si="330"/>
        <v>4910165187</v>
      </c>
      <c r="AO189" s="59">
        <f t="shared" si="330"/>
        <v>17503290</v>
      </c>
      <c r="AP189" s="59">
        <f t="shared" si="330"/>
        <v>1959007333</v>
      </c>
      <c r="AQ189" s="59">
        <f t="shared" si="330"/>
        <v>1132695531</v>
      </c>
      <c r="AR189" s="59">
        <f t="shared" si="330"/>
        <v>102810569</v>
      </c>
      <c r="AS189" s="59">
        <f t="shared" si="330"/>
        <v>219471348</v>
      </c>
      <c r="AT189" s="59">
        <f t="shared" si="330"/>
        <v>0</v>
      </c>
      <c r="AU189" s="59">
        <f t="shared" si="330"/>
        <v>0</v>
      </c>
      <c r="AV189" s="59">
        <f t="shared" si="330"/>
        <v>40655038</v>
      </c>
      <c r="AW189" s="59">
        <f t="shared" si="330"/>
        <v>2606923243</v>
      </c>
      <c r="AX189" s="59">
        <f t="shared" si="330"/>
        <v>904023169</v>
      </c>
      <c r="AY189" s="59">
        <f t="shared" si="330"/>
        <v>742234156</v>
      </c>
      <c r="AZ189" s="59">
        <f t="shared" si="330"/>
        <v>835087016</v>
      </c>
      <c r="BA189" s="59">
        <f t="shared" si="330"/>
        <v>1157607989</v>
      </c>
      <c r="BB189" s="59">
        <f t="shared" si="330"/>
        <v>80844085</v>
      </c>
      <c r="BC189" s="59">
        <f t="shared" si="330"/>
        <v>92524043</v>
      </c>
      <c r="BD189" s="59">
        <f t="shared" si="330"/>
        <v>1085071173</v>
      </c>
      <c r="BE189" s="16">
        <f>1-AI189</f>
        <v>0.33965243314993354</v>
      </c>
      <c r="BF189" s="59">
        <f t="shared" ref="BF189:BZ189" si="331">BF34+BF67+BF103+BF121+BF187</f>
        <v>8497286495</v>
      </c>
      <c r="BG189" s="59">
        <f t="shared" si="331"/>
        <v>391170</v>
      </c>
      <c r="BH189" s="59">
        <f t="shared" si="331"/>
        <v>1264680</v>
      </c>
      <c r="BI189" s="59">
        <f t="shared" si="331"/>
        <v>0</v>
      </c>
      <c r="BJ189" s="59">
        <f t="shared" si="331"/>
        <v>4951978425</v>
      </c>
      <c r="BK189" s="59">
        <f t="shared" si="331"/>
        <v>75392584</v>
      </c>
      <c r="BL189" s="59">
        <f t="shared" si="331"/>
        <v>550173544</v>
      </c>
      <c r="BM189" s="59">
        <f t="shared" si="331"/>
        <v>167304469</v>
      </c>
      <c r="BN189" s="59">
        <f t="shared" si="331"/>
        <v>0</v>
      </c>
      <c r="BO189" s="59">
        <f t="shared" si="331"/>
        <v>0</v>
      </c>
      <c r="BP189" s="59">
        <f t="shared" si="331"/>
        <v>1940856</v>
      </c>
      <c r="BQ189" s="59">
        <f t="shared" si="331"/>
        <v>3438802</v>
      </c>
      <c r="BR189" s="59">
        <f t="shared" si="331"/>
        <v>278009476</v>
      </c>
      <c r="BS189" s="59">
        <f t="shared" si="331"/>
        <v>1507954872</v>
      </c>
      <c r="BT189" s="59">
        <f t="shared" si="331"/>
        <v>172992837</v>
      </c>
      <c r="BU189" s="59">
        <f t="shared" si="331"/>
        <v>332022674</v>
      </c>
      <c r="BV189" s="59">
        <f t="shared" si="331"/>
        <v>128540401</v>
      </c>
      <c r="BW189" s="59">
        <f t="shared" si="331"/>
        <v>24000000</v>
      </c>
      <c r="BX189" s="59">
        <f t="shared" si="331"/>
        <v>0</v>
      </c>
      <c r="BY189" s="59">
        <f t="shared" si="331"/>
        <v>0</v>
      </c>
      <c r="BZ189" s="59">
        <f t="shared" si="331"/>
        <v>301881705</v>
      </c>
      <c r="CA189" s="16">
        <f>+CB189/M189</f>
        <v>0.46431963694159117</v>
      </c>
      <c r="CB189" s="59">
        <f t="shared" ref="CB189:CV189" si="332">CB34+CB67+CB103+CB121+CB187</f>
        <v>11616159919</v>
      </c>
      <c r="CC189" s="59">
        <f t="shared" si="332"/>
        <v>44765799</v>
      </c>
      <c r="CD189" s="59">
        <f t="shared" si="332"/>
        <v>133268976</v>
      </c>
      <c r="CE189" s="59">
        <f t="shared" si="332"/>
        <v>396726534</v>
      </c>
      <c r="CF189" s="59">
        <f t="shared" si="332"/>
        <v>3932442731</v>
      </c>
      <c r="CG189" s="59">
        <f t="shared" si="332"/>
        <v>12550540</v>
      </c>
      <c r="CH189" s="59">
        <f t="shared" si="332"/>
        <v>1590860535</v>
      </c>
      <c r="CI189" s="59">
        <f t="shared" si="332"/>
        <v>753232380</v>
      </c>
      <c r="CJ189" s="59">
        <f t="shared" si="332"/>
        <v>102810569</v>
      </c>
      <c r="CK189" s="59">
        <f t="shared" si="332"/>
        <v>127534316</v>
      </c>
      <c r="CL189" s="59">
        <f t="shared" si="332"/>
        <v>0</v>
      </c>
      <c r="CM189" s="59">
        <f t="shared" si="332"/>
        <v>0</v>
      </c>
      <c r="CN189" s="59">
        <f t="shared" si="332"/>
        <v>40655038</v>
      </c>
      <c r="CO189" s="59">
        <f t="shared" si="332"/>
        <v>1208261737</v>
      </c>
      <c r="CP189" s="59">
        <f t="shared" si="332"/>
        <v>557575145</v>
      </c>
      <c r="CQ189" s="59">
        <f t="shared" si="332"/>
        <v>575245878</v>
      </c>
      <c r="CR189" s="59">
        <f t="shared" si="332"/>
        <v>430459973</v>
      </c>
      <c r="CS189" s="59">
        <f t="shared" si="332"/>
        <v>1016162182</v>
      </c>
      <c r="CT189" s="59">
        <f t="shared" si="332"/>
        <v>25815097</v>
      </c>
      <c r="CU189" s="59">
        <f t="shared" si="332"/>
        <v>0</v>
      </c>
      <c r="CV189" s="59">
        <f t="shared" si="332"/>
        <v>667792489</v>
      </c>
      <c r="CW189" s="184">
        <f>1-CA189</f>
        <v>0.53568036305840883</v>
      </c>
      <c r="CX189" s="59">
        <f t="shared" ref="CX189:DR189" si="333">CX34+CX67+CX103+CX121+CX187</f>
        <v>13401433555</v>
      </c>
      <c r="CY189" s="59">
        <f t="shared" si="333"/>
        <v>59313670</v>
      </c>
      <c r="CZ189" s="59">
        <f t="shared" si="333"/>
        <v>1264680</v>
      </c>
      <c r="DA189" s="59">
        <f t="shared" si="333"/>
        <v>0</v>
      </c>
      <c r="DB189" s="59">
        <f t="shared" si="333"/>
        <v>5929700881</v>
      </c>
      <c r="DC189" s="59">
        <f t="shared" si="333"/>
        <v>80345334</v>
      </c>
      <c r="DD189" s="59">
        <f t="shared" si="333"/>
        <v>918320342</v>
      </c>
      <c r="DE189" s="59">
        <f t="shared" si="333"/>
        <v>546767620</v>
      </c>
      <c r="DF189" s="59">
        <f t="shared" si="333"/>
        <v>0</v>
      </c>
      <c r="DG189" s="59">
        <f t="shared" si="333"/>
        <v>91937032</v>
      </c>
      <c r="DH189" s="59">
        <f t="shared" si="333"/>
        <v>1940856</v>
      </c>
      <c r="DI189" s="59">
        <f t="shared" si="333"/>
        <v>3438802</v>
      </c>
      <c r="DJ189" s="59">
        <f t="shared" si="333"/>
        <v>278009476</v>
      </c>
      <c r="DK189" s="59">
        <f t="shared" si="333"/>
        <v>2906616378</v>
      </c>
      <c r="DL189" s="59">
        <f t="shared" si="333"/>
        <v>519440861</v>
      </c>
      <c r="DM189" s="59">
        <f t="shared" si="333"/>
        <v>499010952</v>
      </c>
      <c r="DN189" s="59">
        <f t="shared" si="333"/>
        <v>533167444</v>
      </c>
      <c r="DO189" s="59">
        <f t="shared" si="333"/>
        <v>165445807</v>
      </c>
      <c r="DP189" s="59">
        <f t="shared" si="333"/>
        <v>55028988</v>
      </c>
      <c r="DQ189" s="59">
        <f t="shared" si="333"/>
        <v>92524043</v>
      </c>
      <c r="DR189" s="59">
        <f t="shared" si="333"/>
        <v>719160389</v>
      </c>
    </row>
    <row r="190" spans="1:122" ht="10.5" customHeight="1" x14ac:dyDescent="0.25">
      <c r="C190" s="58"/>
      <c r="D190" s="58"/>
      <c r="E190" s="57"/>
      <c r="F190" s="57"/>
      <c r="G190" s="57"/>
      <c r="H190" s="57"/>
      <c r="I190" s="57"/>
      <c r="J190" s="57"/>
      <c r="K190" s="57"/>
      <c r="L190" s="57"/>
      <c r="M190" s="55"/>
      <c r="N190" s="55"/>
      <c r="O190" s="55"/>
      <c r="P190" s="55"/>
      <c r="Q190" s="56"/>
      <c r="R190" s="55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I190" s="44"/>
      <c r="AJ190" s="50"/>
      <c r="AK190" s="50"/>
      <c r="AL190" s="50"/>
      <c r="AM190" s="50"/>
      <c r="AN190" s="50"/>
      <c r="AO190" s="50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  <c r="BB190" s="52"/>
      <c r="BC190" s="52"/>
      <c r="BD190" s="52"/>
      <c r="BE190" s="44"/>
      <c r="BF190" s="50"/>
      <c r="BG190" s="50"/>
      <c r="BH190" s="50"/>
      <c r="BI190" s="50"/>
      <c r="BJ190" s="50"/>
      <c r="BK190" s="50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4"/>
      <c r="CB190" s="54"/>
      <c r="CC190" s="53"/>
      <c r="CD190" s="53"/>
      <c r="CE190" s="53"/>
      <c r="CF190" s="53"/>
      <c r="CG190" s="53"/>
      <c r="CH190" s="52"/>
      <c r="CI190" s="52"/>
      <c r="CJ190" s="52"/>
      <c r="CK190" s="52"/>
      <c r="CL190" s="52"/>
      <c r="CM190" s="52"/>
      <c r="CN190" s="52"/>
      <c r="CO190" s="52"/>
      <c r="CP190" s="52"/>
      <c r="CQ190" s="52"/>
      <c r="CR190" s="52"/>
      <c r="CS190" s="52"/>
      <c r="CT190" s="52"/>
      <c r="CU190" s="52"/>
      <c r="CV190" s="52"/>
      <c r="CW190" s="183"/>
      <c r="CX190" s="51"/>
      <c r="CY190" s="50"/>
      <c r="CZ190" s="50"/>
      <c r="DA190" s="50"/>
      <c r="DB190" s="50"/>
      <c r="DC190" s="50"/>
      <c r="DD190" s="49"/>
      <c r="DE190" s="49"/>
      <c r="DF190" s="49"/>
      <c r="DG190" s="49"/>
      <c r="DH190" s="49"/>
      <c r="DI190" s="49"/>
      <c r="DJ190" s="49"/>
      <c r="DK190" s="49"/>
      <c r="DL190" s="49"/>
      <c r="DM190" s="49"/>
      <c r="DN190" s="49"/>
      <c r="DO190" s="49"/>
      <c r="DP190" s="49"/>
      <c r="DQ190" s="49"/>
      <c r="DR190" s="49"/>
    </row>
    <row r="191" spans="1:122" ht="27" customHeight="1" x14ac:dyDescent="0.25">
      <c r="C191" s="48"/>
      <c r="D191" s="35" t="s">
        <v>9</v>
      </c>
      <c r="E191" s="44">
        <v>111</v>
      </c>
      <c r="F191" s="32">
        <f>+'[11]POAI AC. 032  DEL 18-JUNIO '!$K$51-M191</f>
        <v>0</v>
      </c>
      <c r="G191" s="19">
        <f>SUMIF($E$4:$E$186,"111",$G$4:$G$186)</f>
        <v>20073000000</v>
      </c>
      <c r="H191" s="19">
        <f>SUMIF($E$4:$E$186,"111",$H$4:$H$186)</f>
        <v>1897722132</v>
      </c>
      <c r="I191" s="19">
        <f>SUMIF($E$4:$E$186,"111",$I$4:$I$186)</f>
        <v>4533260397</v>
      </c>
      <c r="J191" s="32"/>
      <c r="K191" s="32"/>
      <c r="L191" s="32"/>
      <c r="M191" s="27">
        <f>SUMIF($E$4:$E$186,"111",$M$4:$M$186)</f>
        <v>6430982529</v>
      </c>
      <c r="N191" s="27">
        <f>SUMIF($E$4:$E$186,"111",$N$4:$N$186)</f>
        <v>0</v>
      </c>
      <c r="O191" s="33">
        <f>SUMIF($E$4:$E$187,"111",$O$4:$O$187)</f>
        <v>0</v>
      </c>
      <c r="P191" s="33">
        <f>SUMIF($E$4:$E$187,"111",$P$4:$P$187)</f>
        <v>0</v>
      </c>
      <c r="Q191" s="33">
        <f>SUMIF($E$4:$E$187,"111",$Q$4:$Q$187)</f>
        <v>5814286148</v>
      </c>
      <c r="R191" s="27">
        <f>SUMIF($E$4:$E$186,"111",$R$4:$R$186)</f>
        <v>20011334</v>
      </c>
      <c r="S191" s="32">
        <f>SUMIF($E$4:$E$187,"111",$S$4:$S$187)</f>
        <v>5000000</v>
      </c>
      <c r="T191" s="32">
        <f>SUMIF($E$4:$E$184,"111",$T$4:$T$184)</f>
        <v>0</v>
      </c>
      <c r="U191" s="32">
        <f>SUMIF($E$4:$E$184,"111",$U$4:$U$184)</f>
        <v>0</v>
      </c>
      <c r="V191" s="32">
        <f>SUMIF($E$4:$E$184,"111",$V$4:$V$184)</f>
        <v>0</v>
      </c>
      <c r="W191" s="32">
        <f>SUMIF($E$4:$E$184,"111",$W$4:$W$184)</f>
        <v>1940856</v>
      </c>
      <c r="X191" s="32">
        <f>SUMIF($E$4:$E$184,"111",$X$4:$X$184)</f>
        <v>3438802</v>
      </c>
      <c r="Y191" s="32">
        <f>SUMIF($E$4:$E$184,"111",$Y$4:$Y$184)</f>
        <v>186380309</v>
      </c>
      <c r="Z191" s="32">
        <f>SUMIF($E$4:$E$184,"111",$Z$4:$Z$184)</f>
        <v>0</v>
      </c>
      <c r="AA191" s="32">
        <f>SUMIF($E$4:$E$184,"111",$AA$4:$AA$184)</f>
        <v>0</v>
      </c>
      <c r="AB191" s="32">
        <f>SUMIF($E$4:$E$184,"111",$AB$4:$AB$184)</f>
        <v>114719551</v>
      </c>
      <c r="AC191" s="32">
        <f>SUMIF($E$4:$E$184,"111",$AC$4:$AC$184)</f>
        <v>78705529</v>
      </c>
      <c r="AD191" s="32">
        <f>SUMIF($E$4:$E$184,"111",$AD$4:$AD$184)</f>
        <v>0</v>
      </c>
      <c r="AE191" s="32">
        <f>SUMIF($E$4:$E$184,"111",$AE$4:$AE$184)</f>
        <v>0</v>
      </c>
      <c r="AF191" s="32">
        <f>SUMIF($E$4:$E$184,"111",$AF$4:$AF$184)</f>
        <v>0</v>
      </c>
      <c r="AG191" s="32">
        <f>SUMIF($E$4:$E$186,"111",$AG$4:$AG$186)</f>
        <v>206500000</v>
      </c>
      <c r="AI191" s="31">
        <f t="shared" ref="AI191:AI199" si="334">+AJ191/M191</f>
        <v>0.35409772110733717</v>
      </c>
      <c r="AJ191" s="30">
        <f t="shared" ref="AJ191:AJ196" si="335">SUM(AK191:BD191)</f>
        <v>2277196258</v>
      </c>
      <c r="AK191" s="27">
        <f>SUMIF($E$4:$E$186,"111",$AK$4:$AK$186)</f>
        <v>0</v>
      </c>
      <c r="AL191" s="27">
        <f>SUMIF($E$4:$E$186,"111",$AL$4:$AL$186)</f>
        <v>0</v>
      </c>
      <c r="AM191" s="27">
        <f>SUMIF($E$4:$E$186,"111",$AM$4:$AM$186)</f>
        <v>0</v>
      </c>
      <c r="AN191" s="27">
        <f>SUMIF($E$4:$E$186,"111",$AN$4:$AN$186)</f>
        <v>2187577968</v>
      </c>
      <c r="AO191" s="27">
        <f>SUMIF($E$4:$E$186,"111",$AO$4:$AO$186)</f>
        <v>17503290</v>
      </c>
      <c r="AP191" s="27">
        <f>SUMIF($E$4:$E$186,"111",$AP$4:$AP$186)</f>
        <v>0</v>
      </c>
      <c r="AQ191" s="27">
        <f>SUMIF($E$4:$E$186,"111",$AQ$4:$AQ$186)</f>
        <v>0</v>
      </c>
      <c r="AR191" s="27">
        <f>SUMIF($E$4:$E$186,"111",$AR$4:$AR$186)</f>
        <v>0</v>
      </c>
      <c r="AS191" s="27">
        <f>SUMIF($E$4:$E$186,"111",$AS$4:$AS$186)</f>
        <v>0</v>
      </c>
      <c r="AT191" s="27">
        <f>SUMIF($E$4:$E$186,"111",$AT$4:$AT$186)</f>
        <v>0</v>
      </c>
      <c r="AU191" s="27">
        <f>SUMIF($E$4:$E$184,"111",$AU$4:$AU$184)</f>
        <v>0</v>
      </c>
      <c r="AV191" s="27">
        <f>SUMIF($E$4:$E$184,"111",$AV$4:$AV$184)</f>
        <v>0</v>
      </c>
      <c r="AW191" s="27">
        <f>SUMIF($E$4:$E$184,"111",$AW$4:$AW$184)</f>
        <v>0</v>
      </c>
      <c r="AX191" s="27">
        <f>SUMIF($E$4:$E$184,"111",$AX$4:$AX$184)</f>
        <v>0</v>
      </c>
      <c r="AY191" s="27">
        <f>SUMIF($E$4:$E$186,"111",$AY$4:$AY$186)</f>
        <v>0</v>
      </c>
      <c r="AZ191" s="27">
        <f>SUMIF($E$4:$E$184,"111",$AZ$4:$AZ$184)</f>
        <v>0</v>
      </c>
      <c r="BA191" s="27">
        <f>SUMIF($E$4:$E$186,"111",$AM$4:$AM$186)</f>
        <v>0</v>
      </c>
      <c r="BB191" s="27">
        <f>SUMIF($E$4:$E$184,"111",$BB$4:$BB$184)</f>
        <v>0</v>
      </c>
      <c r="BC191" s="27">
        <f>SUMIF($E$4:$E$184,"111",$BC$4:$BC$184)</f>
        <v>0</v>
      </c>
      <c r="BD191" s="27">
        <f>SUMIF($E$4:$E$186,"111",$BD$4:$BD$186)</f>
        <v>72115000</v>
      </c>
      <c r="BE191" s="16">
        <f t="shared" ref="BE191:BE199" si="336">1-AI191</f>
        <v>0.64590227889266283</v>
      </c>
      <c r="BF191" s="24">
        <f t="shared" ref="BF191:BF196" si="337">SUM(BG191:BZ191)</f>
        <v>4153786271</v>
      </c>
      <c r="BG191" s="27">
        <f>SUMIF($E$4:$E$186,"111",$AM$4:$AM$186)</f>
        <v>0</v>
      </c>
      <c r="BH191" s="22">
        <f>SUMIF($E$4:$E$184,"111",$BH$4:$BH$184)</f>
        <v>0</v>
      </c>
      <c r="BI191" s="22">
        <f>SUMIF($E$4:$E$184,"111",$BI$4:$BI$184)</f>
        <v>0</v>
      </c>
      <c r="BJ191" s="22">
        <f>SUMIF($E$4:$E$186,"111",$BJ$4:$BJ$186)</f>
        <v>3626708180</v>
      </c>
      <c r="BK191" s="22">
        <f>SUMIF($E$4:$E$186,"111",$BK$4:$BK$186)</f>
        <v>2508044</v>
      </c>
      <c r="BL191" s="22">
        <f>SUMIF($E$4:$E$186,"111",$BL$4:$BL$186)</f>
        <v>5000000</v>
      </c>
      <c r="BM191" s="22">
        <f>SUMIF($E$4:$E$186,"111",$BM$4:$BM$186)</f>
        <v>0</v>
      </c>
      <c r="BN191" s="22">
        <f>SUMIF($E$4:$E$184,"111",$BN$4:$BN$184)</f>
        <v>0</v>
      </c>
      <c r="BO191" s="22">
        <f>SUMIF($E$4:$E$187,"111",$BO$4:$BO$187)</f>
        <v>0</v>
      </c>
      <c r="BP191" s="22">
        <f>SUMIF($E$4:$E$184,"111",$BP$4:$BP$184)</f>
        <v>1940856</v>
      </c>
      <c r="BQ191" s="22">
        <f>SUMIF($E$4:$E$184,"111",$BQ$4:$BQ$184)</f>
        <v>3438802</v>
      </c>
      <c r="BR191" s="22">
        <f>SUMIF($E$4:$E$184,"111",$BR$4:$BR$184)</f>
        <v>186380309</v>
      </c>
      <c r="BS191" s="22">
        <f>SUMIF($E$4:$E$184,"111",$BS$4:$BS$184)</f>
        <v>0</v>
      </c>
      <c r="BT191" s="22">
        <f>SUMIF($E$4:$E$184,"111",$BT$4:$BT$184)</f>
        <v>0</v>
      </c>
      <c r="BU191" s="22">
        <f>SUMIF($E$4:$E$184,"111",$BU$4:$BU$184)</f>
        <v>114719551</v>
      </c>
      <c r="BV191" s="22">
        <f>SUMIF($E$4:$E$184,"111",$BV$4:$BV$184)</f>
        <v>78705529</v>
      </c>
      <c r="BW191" s="22">
        <f>SUMIF($E$4:$E$184,"111",$BW$4:$BW$184)</f>
        <v>0</v>
      </c>
      <c r="BX191" s="22">
        <f>SUMIF($E$4:$E$184,"111",$BX$4:$BX$184)</f>
        <v>0</v>
      </c>
      <c r="BY191" s="22">
        <f>SUMIF($E$4:$E$184,"111",$BY$4:$BY$184)</f>
        <v>0</v>
      </c>
      <c r="BZ191" s="29">
        <f>SUMIF($E$4:$E$186,"111",$BZ$4:$BZ$186)</f>
        <v>134385000</v>
      </c>
      <c r="CA191" s="28">
        <f t="shared" ref="CA191:CA199" si="338">+CB191/M191</f>
        <v>0.29509054385428263</v>
      </c>
      <c r="CB191" s="45">
        <f t="shared" ref="CB191:CB196" si="339">SUM(CC191:CV191)</f>
        <v>1897722132</v>
      </c>
      <c r="CC191" s="27">
        <f>SUMIF($E$4:$E$186,"111",$CC$4:$CC$186)</f>
        <v>0</v>
      </c>
      <c r="CD191" s="27">
        <f>SUMIF($E$4:$E$184,"111",$CD$4:$CD$184)</f>
        <v>0</v>
      </c>
      <c r="CE191" s="27">
        <f>SUMIF($E$4:$E$184,"111",$CE$4:$CE$184)</f>
        <v>0</v>
      </c>
      <c r="CF191" s="27">
        <f>SUMIF($E$4:$E$184,"111",$CF$4:$CF$184)</f>
        <v>1863910192</v>
      </c>
      <c r="CG191" s="27">
        <f>SUMIF($E$4:$E$186,"111",$CG$4:$CG$186)</f>
        <v>12550540</v>
      </c>
      <c r="CH191" s="27">
        <f>SUMIF($E$4:$E$184,"111",$CH$4:$CH$184)</f>
        <v>0</v>
      </c>
      <c r="CI191" s="27">
        <f>SUMIF($E$4:$E$184,"111",$CI$4:$CI$184)</f>
        <v>0</v>
      </c>
      <c r="CJ191" s="27">
        <f>SUMIF($E$4:$E$186,"111",$CJ$4:$CJ$186)</f>
        <v>0</v>
      </c>
      <c r="CK191" s="27">
        <f>SUMIF($E$4:$E$184,"111",$CK$4:$CK$184)</f>
        <v>0</v>
      </c>
      <c r="CL191" s="27">
        <f>SUMIF($E$4:$E$184,"111",$CL$4:$CL$184)</f>
        <v>0</v>
      </c>
      <c r="CM191" s="27">
        <f>SUMIF($E$4:$E$184,"111",$CM$4:$CM$184)</f>
        <v>0</v>
      </c>
      <c r="CN191" s="27">
        <f>SUMIF($E$4:$E$184,"111",$CN$4:$CN$184)</f>
        <v>0</v>
      </c>
      <c r="CO191" s="27">
        <f>SUMIF($E$4:$E$184,"111",$CO$4:$CO$184)</f>
        <v>0</v>
      </c>
      <c r="CP191" s="27">
        <f>SUMIF($E$4:$E$184,"111",$CP$4:$CP$184)</f>
        <v>0</v>
      </c>
      <c r="CQ191" s="27">
        <f>SUMIF($E$4:$E$184,"111",$CQ$4:$CQ$184)</f>
        <v>0</v>
      </c>
      <c r="CR191" s="27">
        <f>SUMIF($E$4:$E$184,"111",$CR$4:$CR$184)</f>
        <v>0</v>
      </c>
      <c r="CS191" s="27">
        <f>SUMIF($E$4:$E$184,"111",$CS$4:$CS$184)</f>
        <v>0</v>
      </c>
      <c r="CT191" s="27">
        <f>SUMIF($E$4:$E$184,"111",$CT$4:$CT$184)</f>
        <v>0</v>
      </c>
      <c r="CU191" s="27">
        <f>SUMIF($E$4:$E$184,"111",$CU$4:$CU$184)</f>
        <v>0</v>
      </c>
      <c r="CV191" s="26">
        <f>SUMIF($E$4:$E$184,"111",$CV$4:$CV$184)</f>
        <v>21261400</v>
      </c>
      <c r="CW191" s="25">
        <f t="shared" ref="CW191:CW199" si="340">1-CA191</f>
        <v>0.70490945614571743</v>
      </c>
      <c r="CX191" s="24">
        <f t="shared" ref="CX191:CX196" si="341">SUM(CY191:DR191)</f>
        <v>4533260397</v>
      </c>
      <c r="CY191" s="23">
        <f>SUMIF($E$4:$E$186,"111",$CY$4:$CY$186)</f>
        <v>0</v>
      </c>
      <c r="CZ191" s="22">
        <f>SUMIF($E$4:$E$186,"111",$CZ$4:$CZ$186)</f>
        <v>0</v>
      </c>
      <c r="DA191" s="22">
        <f>SUMIF($E$4:$E$186,"111",$DA$4:$DA$186)</f>
        <v>0</v>
      </c>
      <c r="DB191" s="22">
        <f>SUMIF($E$4:$E$186,"111",$DB$4:$DB$186)</f>
        <v>3950375956</v>
      </c>
      <c r="DC191" s="22">
        <f>SUMIF($E$4:$E$186,"111",$DC$4:$DC$186)</f>
        <v>7460794</v>
      </c>
      <c r="DD191" s="22">
        <f>SUMIF($E$4:$E$186,"111",$DD$4:$DD$186)</f>
        <v>5000000</v>
      </c>
      <c r="DE191" s="22">
        <f>SUMIF($E$4:$E$186,"111",$DE$4:$DE$186)</f>
        <v>0</v>
      </c>
      <c r="DF191" s="22">
        <f>SUMIF($E$4:$E$186,"111",$DF$4:$DF$186)</f>
        <v>0</v>
      </c>
      <c r="DG191" s="21">
        <f>SUMIF($E$4:$E$184,"111",$DG$4:$DG$184)</f>
        <v>0</v>
      </c>
      <c r="DH191" s="21">
        <f>SUMIF($E$4:$E$184,"111",$DH$4:$DH$184)</f>
        <v>1940856</v>
      </c>
      <c r="DI191" s="21">
        <f>SUMIF($E$4:$E$186,"111",$DI$4:$DI$186)</f>
        <v>3438802</v>
      </c>
      <c r="DJ191" s="21">
        <f>SUMIF($E$4:$E$184,"111",$DJ$4:$DJ$184)</f>
        <v>186380309</v>
      </c>
      <c r="DK191" s="21">
        <f>SUMIF($E$4:$E$184,"111",$DK$4:$DK$184)</f>
        <v>0</v>
      </c>
      <c r="DL191" s="21">
        <f>SUMIF($E$4:$E$186,"111",$DL$4:$DL$186)</f>
        <v>0</v>
      </c>
      <c r="DM191" s="21">
        <f>SUMIF($E$4:$E$186,"111",$DM$4:$DM$186)</f>
        <v>114719551</v>
      </c>
      <c r="DN191" s="21">
        <f>SUMIF($E$4:$E$184,"111",$DN$4:$DN$184)</f>
        <v>78705529</v>
      </c>
      <c r="DO191" s="21">
        <f>SUMIF($E$4:$E$184,"111",$DO$4:$DO$184)</f>
        <v>0</v>
      </c>
      <c r="DP191" s="21">
        <f>SUMIF($E$4:$E$184,"111",$DP$4:$DP$184)</f>
        <v>0</v>
      </c>
      <c r="DQ191" s="21">
        <f>SUMIF($E$4:$E$184,"111",$DQ$4:$DQ$184)</f>
        <v>0</v>
      </c>
      <c r="DR191" s="21">
        <f>SUMIF($E$4:$E$186,"111",$DR$4:$DR$186)</f>
        <v>185238600</v>
      </c>
    </row>
    <row r="192" spans="1:122" ht="25.5" customHeight="1" x14ac:dyDescent="0.25">
      <c r="C192" s="47"/>
      <c r="D192" s="35" t="s">
        <v>8</v>
      </c>
      <c r="E192" s="44">
        <v>211</v>
      </c>
      <c r="F192" s="32"/>
      <c r="G192" s="19">
        <f>SUMIF($E$4:$E$186,"211",$G$4:$G$186)</f>
        <v>0</v>
      </c>
      <c r="H192" s="19">
        <f>SUMIF($E$4:$E$186,"211",$H$4:$H$186)</f>
        <v>1788793331</v>
      </c>
      <c r="I192" s="19">
        <f>SUMIF($E$4:$E$186,"211",$I$4:$I$186)</f>
        <v>2108351822</v>
      </c>
      <c r="J192" s="32"/>
      <c r="K192" s="32"/>
      <c r="L192" s="32"/>
      <c r="M192" s="27">
        <f>SUMIF($E$4:$E$186,"211",$M$4:$M$186)</f>
        <v>3897145153</v>
      </c>
      <c r="N192" s="27">
        <f>SUMIF($E$4:$E$186,"211",$N$4:$N$186)</f>
        <v>0</v>
      </c>
      <c r="O192" s="33">
        <f>SUMIF($E$4:$E$187,"211",$O$4:$O$187)</f>
        <v>0</v>
      </c>
      <c r="P192" s="33">
        <f>SUMIF($E$4:$E$187,"211",$P$4:$P$187)</f>
        <v>0</v>
      </c>
      <c r="Q192" s="33">
        <f>SUMIF($E$4:$E$187,"211",$Q$4:$Q$187)</f>
        <v>3222135433</v>
      </c>
      <c r="R192" s="27">
        <f>SUMIF($E$4:$E$186,"211",$R$4:$R$186)</f>
        <v>0</v>
      </c>
      <c r="S192" s="32">
        <f>SUMIF($E$4:$E$184,"211",$S$4:$S$184)</f>
        <v>210000000</v>
      </c>
      <c r="T192" s="32">
        <f>SUMIF($E$4:$E$184,"211",$T$4:$T$184)</f>
        <v>0</v>
      </c>
      <c r="U192" s="32">
        <f>SUMIF($E$4:$E$184,"211",$U$4:$U$184)</f>
        <v>0</v>
      </c>
      <c r="V192" s="32">
        <f>SUMIF($E$4:$E$184,"211",$V$4:$V$184)</f>
        <v>0</v>
      </c>
      <c r="W192" s="32">
        <f>SUMIF($E$4:$E$184,"211",$W$4:$W$184)</f>
        <v>0</v>
      </c>
      <c r="X192" s="32">
        <f>SUMIF($E$4:$E$184,"211",$X$4:$X$184)</f>
        <v>0</v>
      </c>
      <c r="Y192" s="32">
        <f>SUMIF($E$4:$E$184,"211",$Y$4:$Y$184)</f>
        <v>132284205</v>
      </c>
      <c r="Z192" s="32">
        <f>SUMIF($E$4:$E$184,"211",$Z$4:$Z$184)</f>
        <v>0</v>
      </c>
      <c r="AA192" s="32">
        <f>SUMIF($E$4:$E$184,"211",$AA$4:$AA$184)</f>
        <v>0</v>
      </c>
      <c r="AB192" s="32">
        <f>SUMIF($E$4:$E$184,"211",$AB$4:$AB$184)</f>
        <v>0</v>
      </c>
      <c r="AC192" s="32">
        <f>SUMIF($E$4:$E$184,"211",$AC$4:$AC$184)</f>
        <v>25530452</v>
      </c>
      <c r="AD192" s="32">
        <f>SUMIF($E$4:$E$184,"211",$AD$4:$AD$184)</f>
        <v>0</v>
      </c>
      <c r="AE192" s="32">
        <f>SUMIF($E$4:$E$184,"211",$AE$4:$AE$184)</f>
        <v>0</v>
      </c>
      <c r="AF192" s="32">
        <f>SUMIF($E$4:$E$184,"211",$AF$4:$AF$184)</f>
        <v>92524043</v>
      </c>
      <c r="AG192" s="32">
        <f>SUMIF($E$4:$E$186,"211",$AG$4:$AG$186)</f>
        <v>214671020</v>
      </c>
      <c r="AI192" s="31">
        <f t="shared" si="334"/>
        <v>0.62745201217810531</v>
      </c>
      <c r="AJ192" s="30">
        <f t="shared" si="335"/>
        <v>2445271568</v>
      </c>
      <c r="AK192" s="27">
        <f>SUMIF($E$4:$E$184,"211",$AK$4:$AK$184)</f>
        <v>0</v>
      </c>
      <c r="AL192" s="27">
        <f>SUMIF($E$4:$E$186,"211",$AL$4:$AL$186)</f>
        <v>0</v>
      </c>
      <c r="AM192" s="27">
        <f>SUMIF($E$4:$E$186,"211",$AM$4:$AM$186)</f>
        <v>0</v>
      </c>
      <c r="AN192" s="27">
        <f>SUMIF($E$4:$E$186,"211",$AN$4:$AN$186)</f>
        <v>1896865188</v>
      </c>
      <c r="AO192" s="27">
        <f>SUMIF($E$4:$E$184,"211",$AO$4:$AO$184)</f>
        <v>0</v>
      </c>
      <c r="AP192" s="27">
        <f>SUMIF($E$4:$E$184,"211",$AP$4:$AP$184)</f>
        <v>210000000</v>
      </c>
      <c r="AQ192" s="27">
        <f>SUMIF($E$4:$E$186,"211",$AQ$4:$AQ$186)</f>
        <v>0</v>
      </c>
      <c r="AR192" s="27">
        <f>SUMIF($E$4:$E$186,"211",$AR$4:$AR$186)</f>
        <v>0</v>
      </c>
      <c r="AS192" s="27">
        <f>SUMIF($E$4:$E$184,"211",$AS$4:$AS$184)</f>
        <v>0</v>
      </c>
      <c r="AT192" s="27">
        <f>SUMIF($E$4:$E$184,"211",$AT$4:$AT$184)</f>
        <v>0</v>
      </c>
      <c r="AU192" s="27">
        <f>SUMIF($E$4:$E$184,"211",$AU$4:$AU$184)</f>
        <v>0</v>
      </c>
      <c r="AV192" s="27">
        <f>SUMIF($E$4:$E$184,"211",$AV$4:$AV$184)</f>
        <v>40655038</v>
      </c>
      <c r="AW192" s="27">
        <f>SUMIF($E$4:$E$184,"211",$AW$4:$AW$184)</f>
        <v>0</v>
      </c>
      <c r="AX192" s="27">
        <f>SUMIF($E$4:$E$184,"211",$AX$4:$AX$184)</f>
        <v>0</v>
      </c>
      <c r="AY192" s="27">
        <f>SUMIF($E$4:$E$186,"211",$AY$4:$AY$186)</f>
        <v>0</v>
      </c>
      <c r="AZ192" s="27">
        <f>SUMIF($E$4:$E$184,"211",$AZ$4:$AZ$184)</f>
        <v>25530452</v>
      </c>
      <c r="BA192" s="27">
        <f>SUMIF($E$4:$E$184,"211",$BA$4:$BA$184)</f>
        <v>0</v>
      </c>
      <c r="BB192" s="27">
        <f>SUMIF($E$4:$E$184,"211",$BB$4:$BB$184)</f>
        <v>0</v>
      </c>
      <c r="BC192" s="27">
        <f>SUMIF($E$4:$E$184,"211",$BC$4:$BC$184)</f>
        <v>92524043</v>
      </c>
      <c r="BD192" s="27">
        <f>SUMIF($E$4:$E$186,"211",$BD$4:$BD$186)</f>
        <v>179696847</v>
      </c>
      <c r="BE192" s="16">
        <f t="shared" si="336"/>
        <v>0.37254798782189469</v>
      </c>
      <c r="BF192" s="24">
        <f t="shared" si="337"/>
        <v>1451873585</v>
      </c>
      <c r="BG192" s="22">
        <f>SUMIF($E$4:$E$184,"211",$BG$4:$BG$184)</f>
        <v>0</v>
      </c>
      <c r="BH192" s="22">
        <f>SUMIF($E$4:$E$184,"211",$BH$4:$BH$184)</f>
        <v>0</v>
      </c>
      <c r="BI192" s="22">
        <f>SUMIF($E$4:$E$184,"211",$BI$4:$BI$184)</f>
        <v>0</v>
      </c>
      <c r="BJ192" s="22">
        <f>SUMIF($E$4:$E$186,"211",$BJ$4:$BJ$186)</f>
        <v>1325270245</v>
      </c>
      <c r="BK192" s="22">
        <f>SUMIF($E$4:$E$186,"211",$BK$4:$BK$186)</f>
        <v>0</v>
      </c>
      <c r="BL192" s="22">
        <f>SUMIF($E$4:$E$186,"211",$BL$4:$BL$186)</f>
        <v>0</v>
      </c>
      <c r="BM192" s="22">
        <f>SUMIF($E$4:$E$186,"211",$BM$4:$BM$186)</f>
        <v>0</v>
      </c>
      <c r="BN192" s="22">
        <f>SUMIF($E$4:$E$184,"211",$BN$4:$BN$184)</f>
        <v>0</v>
      </c>
      <c r="BO192" s="22">
        <f>SUMIF($E$4:$E$184,"211",$BO$4:$BO$184)</f>
        <v>0</v>
      </c>
      <c r="BP192" s="22">
        <f>SUMIF($E$4:$E$184,"211",$BP$4:$BP$184)</f>
        <v>0</v>
      </c>
      <c r="BQ192" s="22">
        <f>SUMIF($E$4:$E$184,"211",$BQ$4:$BQ$184)</f>
        <v>0</v>
      </c>
      <c r="BR192" s="22">
        <f>SUMIF($E$4:$E$184,"211",$BR$4:$BR$184)</f>
        <v>91629167</v>
      </c>
      <c r="BS192" s="22">
        <f>SUMIF($E$4:$E$184,"211",$BS$4:$BS$184)</f>
        <v>0</v>
      </c>
      <c r="BT192" s="22">
        <f>SUMIF($E$4:$E$184,"211",$BT$4:$BT$184)</f>
        <v>0</v>
      </c>
      <c r="BU192" s="22">
        <f>SUMIF($E$4:$E$184,"211",$BU$4:$BU$184)</f>
        <v>0</v>
      </c>
      <c r="BV192" s="22">
        <f>SUMIF($E$4:$E$184,"211",$BV$4:$BV$184)</f>
        <v>0</v>
      </c>
      <c r="BW192" s="22">
        <f>SUMIF($E$4:$E$184,"211",$BW$4:$BW$184)</f>
        <v>0</v>
      </c>
      <c r="BX192" s="22">
        <f>SUMIF($E$4:$E$184,"211",$BX$4:$BX$184)</f>
        <v>0</v>
      </c>
      <c r="BY192" s="22">
        <f>SUMIF($E$4:$E$184,"211",$BY$4:$BY$184)</f>
        <v>0</v>
      </c>
      <c r="BZ192" s="29">
        <f>SUMIF($E$4:$E$186,"211",$BZ$4:$BZ$186)</f>
        <v>34974173</v>
      </c>
      <c r="CA192" s="28">
        <f t="shared" si="338"/>
        <v>0.45900095089427118</v>
      </c>
      <c r="CB192" s="45">
        <f t="shared" si="339"/>
        <v>1788793331</v>
      </c>
      <c r="CC192" s="27">
        <f>SUMIF($E$4:$E$186,"211",$CC$4:$CC$186)</f>
        <v>0</v>
      </c>
      <c r="CD192" s="27">
        <f>SUMIF($E$4:$E$184,"211",$CD$4:$CD$184)</f>
        <v>0</v>
      </c>
      <c r="CE192" s="27">
        <f>SUMIF($E$4:$E$184,"211",$CE$4:$CE$184)</f>
        <v>0</v>
      </c>
      <c r="CF192" s="27">
        <f>SUMIF($E$4:$E$184,"211",$CF$4:$CF$184)</f>
        <v>1468222658</v>
      </c>
      <c r="CG192" s="27">
        <f>SUMIF($E$4:$E$186,"211",$CG$4:$CG$186)</f>
        <v>0</v>
      </c>
      <c r="CH192" s="27">
        <f>SUMIF($E$4:$E$184,"211",$CH$4:$CH$184)</f>
        <v>208736238</v>
      </c>
      <c r="CI192" s="27">
        <f>SUMIF($E$4:$E$184,"211",$CI$4:$CI$184)</f>
        <v>0</v>
      </c>
      <c r="CJ192" s="27">
        <f>SUMIF($E$4:$E$186,"211",$CJ$4:$CJ$186)</f>
        <v>0</v>
      </c>
      <c r="CK192" s="27">
        <f>SUMIF($E$4:$E$184,"211",$CK$4:$CK$184)</f>
        <v>0</v>
      </c>
      <c r="CL192" s="27">
        <f>SUMIF($E$4:$E$184,"211",$CL$4:$CL$184)</f>
        <v>0</v>
      </c>
      <c r="CM192" s="27">
        <f>SUMIF($E$4:$E$184,"211",$CM$4:$CM$184)</f>
        <v>0</v>
      </c>
      <c r="CN192" s="27">
        <f>SUMIF($E$4:$E$184,"211",$CN$4:$CN$184)</f>
        <v>40655038</v>
      </c>
      <c r="CO192" s="27">
        <f>SUMIF($E$4:$E$184,"211",$CO$4:$CO$184)</f>
        <v>0</v>
      </c>
      <c r="CP192" s="27">
        <f>SUMIF($E$4:$E$184,"211",$CP$4:$CP$184)</f>
        <v>0</v>
      </c>
      <c r="CQ192" s="27">
        <f>SUMIF($E$4:$E$184,"211",$CQ$4:$CQ$184)</f>
        <v>0</v>
      </c>
      <c r="CR192" s="27">
        <f>SUMIF($E$4:$E$184,"211",$CR$4:$CR$184)</f>
        <v>7976469</v>
      </c>
      <c r="CS192" s="27">
        <f>SUMIF($E$4:$E$184,"211",$CS$4:$CS$184)</f>
        <v>0</v>
      </c>
      <c r="CT192" s="27">
        <f>SUMIF($E$4:$E$184,"211",$CT$4:$CT$184)</f>
        <v>0</v>
      </c>
      <c r="CU192" s="27">
        <f>SUMIF($E$4:$E$184,"211",$CU$4:$CU$184)</f>
        <v>0</v>
      </c>
      <c r="CV192" s="26">
        <f>SUMIF($E$4:$E$184,"211",$CV$4:$CV$184)</f>
        <v>63202928</v>
      </c>
      <c r="CW192" s="25">
        <f t="shared" si="340"/>
        <v>0.54099904910572882</v>
      </c>
      <c r="CX192" s="24">
        <f t="shared" ca="1" si="341"/>
        <v>2108351822</v>
      </c>
      <c r="CY192" s="23">
        <f>SUMIF($E$4:$E$186,"211",$CY$4:$CY$186)</f>
        <v>0</v>
      </c>
      <c r="CZ192" s="22">
        <f ca="1">SUMIF($E$4:$E$187,"211",$CZ$4:$CZ$186)</f>
        <v>0</v>
      </c>
      <c r="DA192" s="22">
        <f>SUMIF($E$4:$E$186,"211",$DA$4:$DA$186)</f>
        <v>0</v>
      </c>
      <c r="DB192" s="22">
        <f>SUMIF($E$4:$E$186,"211",$DB$4:$DB$186)</f>
        <v>1753912775</v>
      </c>
      <c r="DC192" s="22">
        <f>SUMIF($E$4:$E$186,"211",$DC$4:$DC$186)</f>
        <v>0</v>
      </c>
      <c r="DD192" s="22">
        <f>SUMIF($E$4:$E$186,"211",$DD$4:$DD$186)</f>
        <v>1263762</v>
      </c>
      <c r="DE192" s="22">
        <f>SUMIF($E$4:$E$186,"211",$DE$4:$DE$186)</f>
        <v>0</v>
      </c>
      <c r="DF192" s="22">
        <f>SUMIF($E$4:$E$186,"211",$DF$4:$DF$186)</f>
        <v>0</v>
      </c>
      <c r="DG192" s="21">
        <f>SUMIF($E$4:$E$184,"211",$DG$4:$DG$184)</f>
        <v>0</v>
      </c>
      <c r="DH192" s="21">
        <f>SUMIF($E$4:$E$184,"211",$DH$4:$DH$184)</f>
        <v>0</v>
      </c>
      <c r="DI192" s="21">
        <f>SUMIF($E$4:$E$186,"211",$DI$4:$DI$186)</f>
        <v>0</v>
      </c>
      <c r="DJ192" s="21">
        <f>SUMIF($E$4:$E$184,"211",$DJ$4:$DJ$184)</f>
        <v>91629167</v>
      </c>
      <c r="DK192" s="21">
        <f>SUMIF($E$4:$E$184,"211",$DK$4:$DK$184)</f>
        <v>0</v>
      </c>
      <c r="DL192" s="21">
        <f>SUMIF($E$4:$E$186,"211",$DL$4:$DL$186)</f>
        <v>0</v>
      </c>
      <c r="DM192" s="21">
        <f>SUMIF($E$4:$E$186,"211",$DM$4:$DM$186)</f>
        <v>0</v>
      </c>
      <c r="DN192" s="21">
        <f>SUMIF($E$4:$E$184,"211",$DN$4:$DN$184)</f>
        <v>17553983</v>
      </c>
      <c r="DO192" s="21">
        <f>SUMIF($E$4:$E$184,"211",$DO$4:$DO$184)</f>
        <v>0</v>
      </c>
      <c r="DP192" s="21">
        <f>SUMIF($E$4:$E$184,"211",$DP$4:$DP$184)</f>
        <v>0</v>
      </c>
      <c r="DQ192" s="21">
        <f>SUMIF($E$4:$E$184,"211",$DQ$4:$DQ$184)</f>
        <v>92524043</v>
      </c>
      <c r="DR192" s="21">
        <f>SUMIF($E$4:$E$186,"211",$DR$4:$DR$186)</f>
        <v>151468092</v>
      </c>
    </row>
    <row r="193" spans="3:133" ht="25.5" customHeight="1" x14ac:dyDescent="0.25">
      <c r="C193" s="47"/>
      <c r="D193" s="35" t="s">
        <v>7</v>
      </c>
      <c r="E193" s="44">
        <v>310</v>
      </c>
      <c r="F193" s="32"/>
      <c r="G193" s="19">
        <f>SUMIF($E$4:$E$186,"310",$G$4:$G$186)</f>
        <v>1203000000</v>
      </c>
      <c r="H193" s="19">
        <f>SUMIF($E$4:$E$186,"310",$H$4:$H$186)</f>
        <v>565520784</v>
      </c>
      <c r="I193" s="19">
        <f>SUMIF($E$4:$E$186,"310",$I$4:$I$186)</f>
        <v>738732400</v>
      </c>
      <c r="J193" s="32"/>
      <c r="K193" s="32"/>
      <c r="L193" s="32"/>
      <c r="M193" s="27">
        <f>SUMIF($E$4:$E$186,"310",$M$4:$M$187)</f>
        <v>1304253184</v>
      </c>
      <c r="N193" s="27">
        <f>SUMIF($E$4:$E$186,"310",$N$4:$N$186)</f>
        <v>0</v>
      </c>
      <c r="O193" s="33">
        <f>SUMIF($E$4:$E$184,"310",$O$4:$O$184)</f>
        <v>0</v>
      </c>
      <c r="P193" s="33">
        <f>SUMIF($E$4:$E$187,"310",$P$4:$P$187)</f>
        <v>0</v>
      </c>
      <c r="Q193" s="33">
        <f>SUMIF($E$4:$E$184,"310",$Q$4:$Q$184)</f>
        <v>0</v>
      </c>
      <c r="R193" s="27">
        <f>SUMIF($E$4:$E$186,"310",$R$4:$R$186)</f>
        <v>0</v>
      </c>
      <c r="S193" s="32">
        <f>SUMIF($E$4:$E$184,"310",$S$4:$S$184)</f>
        <v>420000000</v>
      </c>
      <c r="T193" s="32">
        <f>SUMIF($E$4:$E$184,"310",$T$4:$T$184)</f>
        <v>321985144</v>
      </c>
      <c r="U193" s="32">
        <f>SUMIF($E$4:$E$184,"310",$U$4:$U$184)</f>
        <v>0</v>
      </c>
      <c r="V193" s="32">
        <f>SUMIF($E$4:$E$184,"310",$V$4:$V$184)</f>
        <v>0</v>
      </c>
      <c r="W193" s="32">
        <f>SUMIF($E$4:$E$184,"310",$W$4:$W$184)</f>
        <v>0</v>
      </c>
      <c r="X193" s="32">
        <f>SUMIF($E$4:$E$184,"310",$X$4:$X$184)</f>
        <v>0</v>
      </c>
      <c r="Y193" s="32">
        <f>SUMIF($E$4:$E$184,"310",$Y$4:$Y$184)</f>
        <v>0</v>
      </c>
      <c r="Z193" s="32">
        <f>SUMIF($E$4:$E$184,"310",$Z$4:$Z$184)</f>
        <v>0</v>
      </c>
      <c r="AA193" s="32">
        <f>SUMIF($E$4:$E$184,"310",$AA$4:$AA$184)</f>
        <v>0</v>
      </c>
      <c r="AB193" s="32">
        <f>SUMIF($E$4:$E$184,"310",$AB$4:$AB$184)</f>
        <v>161000000</v>
      </c>
      <c r="AC193" s="32">
        <f>SUMIF($E$4:$E$184,"310",$AC$4:$AC$184)</f>
        <v>273344421</v>
      </c>
      <c r="AD193" s="32">
        <f>SUMIF($E$4:$E$155,"310",$AD$4:$AD$155)</f>
        <v>0</v>
      </c>
      <c r="AE193" s="32">
        <f>SUMIF($E$4:$E$184,"310",$AE$4:$AE$184)</f>
        <v>0</v>
      </c>
      <c r="AF193" s="32">
        <f>SUMIF($E$4:$E$184,"310",$AF$4:$AF$184)</f>
        <v>0</v>
      </c>
      <c r="AG193" s="32">
        <f>SUMIF($E$4:$E$186,"310",$AG$4:$AG$186)</f>
        <v>127923619</v>
      </c>
      <c r="AI193" s="31">
        <f t="shared" si="334"/>
        <v>0.56933490683354926</v>
      </c>
      <c r="AJ193" s="46">
        <f t="shared" si="335"/>
        <v>742556865</v>
      </c>
      <c r="AK193" s="27">
        <f>SUMIF($E$4:$E$184,"310",$AK$4:$AK$184)</f>
        <v>0</v>
      </c>
      <c r="AL193" s="27">
        <f>SUMIF($E$4:$E$186,"310",$AL$4:$AL$186)</f>
        <v>0</v>
      </c>
      <c r="AM193" s="27">
        <f>SUMIF($E$4:$E$186,"310",$AM$4:$AM$186)</f>
        <v>0</v>
      </c>
      <c r="AN193" s="27">
        <f>SUMIF($E$4:$E$186,"310",$AN$4:$AN$186)</f>
        <v>0</v>
      </c>
      <c r="AO193" s="27">
        <f>SUMIF($E$4:$E$184,"310",$AO$4:$AO$184)</f>
        <v>0</v>
      </c>
      <c r="AP193" s="27">
        <f>SUMIF($E$4:$E$184,"310",$AP$4:$AP$184)</f>
        <v>184777628</v>
      </c>
      <c r="AQ193" s="27">
        <f>SUMIF($E$4:$E$186,"310",$AQ$4:$AQ$186)</f>
        <v>179680675</v>
      </c>
      <c r="AR193" s="27">
        <f>SUMIF($E$4:$E$186,"310",$AR$4:$AR$186)</f>
        <v>0</v>
      </c>
      <c r="AS193" s="27">
        <f>SUMIF($E$4:$E$184,"310",$AS$4:$AS$184)</f>
        <v>0</v>
      </c>
      <c r="AT193" s="27">
        <f>SUMIF($E$4:$E$184,"310",$AT$4:$AT$184)</f>
        <v>0</v>
      </c>
      <c r="AU193" s="27">
        <f>SUMIF($E$4:$E$155,"310",$AU$4:$AU$155)</f>
        <v>0</v>
      </c>
      <c r="AV193" s="27">
        <f>SUMIF($E$4:$E$184,"310",$AV$4:$AV$184)</f>
        <v>0</v>
      </c>
      <c r="AW193" s="27">
        <f>SUMIF($E$4:$E$184,"310",$AW$4:$AW$184)</f>
        <v>0</v>
      </c>
      <c r="AX193" s="27">
        <f>SUMIF($E$4:$E$184,"310",$AX$4:$AX$184)</f>
        <v>0</v>
      </c>
      <c r="AY193" s="27">
        <f>SUMIF($E$4:$E$186,"310",$AY$4:$AY$186)</f>
        <v>0</v>
      </c>
      <c r="AZ193" s="27">
        <f>SUMIF($E$4:$E$184,"310",$AZ$4:$AZ$184)</f>
        <v>273344421</v>
      </c>
      <c r="BA193" s="27">
        <f>SUMIF($E$4:$E$184,"310",$BA$4:$BA$184)</f>
        <v>0</v>
      </c>
      <c r="BB193" s="27">
        <f>SUMIF($E$4:$E$184,"310",$BB$4:$BB$184)</f>
        <v>0</v>
      </c>
      <c r="BC193" s="27">
        <f>SUMIF($E$4:$E$184,"310",$BC$4:$BC$184)</f>
        <v>0</v>
      </c>
      <c r="BD193" s="27">
        <f>SUMIF($E$4:$E$186,"310",$BD$4:$BD$186)</f>
        <v>104754141</v>
      </c>
      <c r="BE193" s="16">
        <f t="shared" si="336"/>
        <v>0.43066509316645074</v>
      </c>
      <c r="BF193" s="24">
        <f t="shared" si="337"/>
        <v>561696319</v>
      </c>
      <c r="BG193" s="22">
        <f>SUMIF($E$4:$E$184,"310",$BG$4:$BG$184)</f>
        <v>0</v>
      </c>
      <c r="BH193" s="22">
        <f>SUMIF($E$4:$E$184,"310",$BH$4:$BH$184)</f>
        <v>0</v>
      </c>
      <c r="BI193" s="22">
        <f>SUMIF($E$4:$E$184,"310",$BI$4:$BI$184)</f>
        <v>0</v>
      </c>
      <c r="BJ193" s="22">
        <f>SUMIF($E$4:$E$186,"310",$BJ$4:$BJ$186)</f>
        <v>0</v>
      </c>
      <c r="BK193" s="22">
        <f>SUMIF($E$4:$E$186,"310",$BK$4:$BK$186)</f>
        <v>0</v>
      </c>
      <c r="BL193" s="22">
        <f>SUMIF($E$4:$E$186,"310",$BL$4:$BL$186)</f>
        <v>235222372</v>
      </c>
      <c r="BM193" s="22">
        <f>SUMIF($E$4:$E$186,"310",$BM$4:$BM$186)</f>
        <v>142304469</v>
      </c>
      <c r="BN193" s="22">
        <f>SUMIF($E$4:$E$184,"310",$BN$4:$BN$184)</f>
        <v>0</v>
      </c>
      <c r="BO193" s="22">
        <f>SUMIF($E$4:$E$184,"310",$BO$4:$BO$184)</f>
        <v>0</v>
      </c>
      <c r="BP193" s="22">
        <f>SUMIF($E$4:$E$184,"310",$BP$4:$BP$184)</f>
        <v>0</v>
      </c>
      <c r="BQ193" s="22">
        <f>SUMIF($E$4:$E$184,"310",$BQ$4:$BQ$184)</f>
        <v>0</v>
      </c>
      <c r="BR193" s="22">
        <f>SUMIF($E$4:$E$184,"310",$BR$4:$BR$184)</f>
        <v>0</v>
      </c>
      <c r="BS193" s="22">
        <f>SUMIF($E$4:$E$184,"310",$BS$4:$BS$184)</f>
        <v>0</v>
      </c>
      <c r="BT193" s="22">
        <f>SUMIF($E$4:$E$184,"310",$BT$4:$BT$184)</f>
        <v>0</v>
      </c>
      <c r="BU193" s="22">
        <f>SUMIF($E$4:$E$184,"310",$BU$4:$BU$184)</f>
        <v>161000000</v>
      </c>
      <c r="BV193" s="22">
        <f>SUMIF($E$4:$E$184,"310",$BV$4:$BV$184)</f>
        <v>0</v>
      </c>
      <c r="BW193" s="22">
        <f>SUMIF($E$4:$E$184,"310",$BW$4:$BW$184)</f>
        <v>0</v>
      </c>
      <c r="BX193" s="22">
        <f>SUMIF($E$4:$E$184,"310",$BX$4:$BX$184)</f>
        <v>0</v>
      </c>
      <c r="BY193" s="22">
        <f>SUMIF($E$4:$E$184,"310",$BY$4:$BY$184)</f>
        <v>0</v>
      </c>
      <c r="BZ193" s="29">
        <f>SUMIF($E$4:$E$186,"310",$BZ$4:$BZ$186)</f>
        <v>23169478</v>
      </c>
      <c r="CA193" s="28">
        <f t="shared" si="338"/>
        <v>0.43359739576453277</v>
      </c>
      <c r="CB193" s="45">
        <f t="shared" si="339"/>
        <v>565520784</v>
      </c>
      <c r="CC193" s="27">
        <f>SUMIF($E$4:$E$186,"310",$CC$4:$CC$186)</f>
        <v>0</v>
      </c>
      <c r="CD193" s="27">
        <f>SUMIF($E$4:$E$184,"310",$CD$4:$CD$184)</f>
        <v>0</v>
      </c>
      <c r="CE193" s="27">
        <f>SUMIF($E$4:$E$184,"310",$CE$4:$CE$184)</f>
        <v>0</v>
      </c>
      <c r="CF193" s="27">
        <f>SUMIF($E$4:$E$184,"310",$CF$4:$CF$184)</f>
        <v>0</v>
      </c>
      <c r="CG193" s="27">
        <f>SUMIF($E$4:$E$186,"310",$CG$4:$CG$186)</f>
        <v>0</v>
      </c>
      <c r="CH193" s="27">
        <f>SUMIF($E$4:$E$186,"310",$CH$4:$CH$186)</f>
        <v>182755378</v>
      </c>
      <c r="CI193" s="27">
        <f>SUMIF($E$4:$E$186,"310",$CI$4:$CI$186)</f>
        <v>171931109</v>
      </c>
      <c r="CJ193" s="27">
        <f>SUMIF($E$4:$E$186,"310",$CJ$4:$CJ$186)</f>
        <v>0</v>
      </c>
      <c r="CK193" s="27">
        <f>SUMIF($E$4:$E$184,"310",$CK$4:$CK$184)</f>
        <v>0</v>
      </c>
      <c r="CL193" s="27">
        <f>SUMIF($E$4:$E$184,"310",$CL$4:$CL$184)</f>
        <v>0</v>
      </c>
      <c r="CM193" s="27">
        <f>SUMIF($E$4:$E$184,"310",$CM$4:$CM$184)</f>
        <v>0</v>
      </c>
      <c r="CN193" s="27">
        <f>SUMIF($E$4:$E$184,"310",$CN$4:$CN$184)</f>
        <v>0</v>
      </c>
      <c r="CO193" s="27">
        <f>SUMIF($E$4:$E$184,"310",$CO$4:$CO$184)</f>
        <v>0</v>
      </c>
      <c r="CP193" s="27">
        <f>SUMIF($E$4:$E$184,"310",$CP$4:$CP$184)</f>
        <v>0</v>
      </c>
      <c r="CQ193" s="27">
        <f>SUMIF($E$4:$E$184,"310",$CQ$4:$CQ$184)</f>
        <v>0</v>
      </c>
      <c r="CR193" s="27">
        <f>SUMIF($E$4:$E$186,"310",$CR$4:$CR$186)</f>
        <v>158967073</v>
      </c>
      <c r="CS193" s="27">
        <f>SUMIF($E$4:$E$184,"310",$CS$4:$CS$184)</f>
        <v>0</v>
      </c>
      <c r="CT193" s="27">
        <f>SUMIF($E$4:$E$184,"310",$CT$4:$CT$184)</f>
        <v>0</v>
      </c>
      <c r="CU193" s="27">
        <f>SUMIF($E$4:$E$184,"310",$CU$4:$CU$184)</f>
        <v>0</v>
      </c>
      <c r="CV193" s="26">
        <f>SUMIF($E$4:$E$186,"310",$CV$4:$CV$186)</f>
        <v>51867224</v>
      </c>
      <c r="CW193" s="25">
        <f t="shared" si="340"/>
        <v>0.56640260423546729</v>
      </c>
      <c r="CX193" s="24">
        <f t="shared" si="341"/>
        <v>738732400</v>
      </c>
      <c r="CY193" s="23">
        <f>SUMIF($E$4:$E$186,"310",$CY$4:$CY$186)</f>
        <v>0</v>
      </c>
      <c r="CZ193" s="22">
        <f>SUMIF($E$4:$E$184,"310",$CZ$4:$CZ$184)</f>
        <v>0</v>
      </c>
      <c r="DA193" s="22">
        <f>SUMIF($E$4:$E$186,"310",$DA$4:$DA$186)</f>
        <v>0</v>
      </c>
      <c r="DB193" s="22">
        <f>SUMIF($E$4:$E$186,"310",$DB$4:$DB$186)</f>
        <v>0</v>
      </c>
      <c r="DC193" s="22">
        <f>SUMIF($E$4:$E$186,"310",$DC$4:$DC$186)</f>
        <v>0</v>
      </c>
      <c r="DD193" s="22">
        <f>SUMIF($E$4:$E$186,"310",$DD$4:$DD$186)</f>
        <v>237244622</v>
      </c>
      <c r="DE193" s="22">
        <f>SUMIF($E$4:$E$186,"310",$DE$4:$DE$186)</f>
        <v>150054035</v>
      </c>
      <c r="DF193" s="22">
        <f>SUMIF($E$4:$E$186,"310",$DF$4:$DF$186)</f>
        <v>0</v>
      </c>
      <c r="DG193" s="21">
        <f>SUMIF($E$4:$E$184,"310",$DG$4:$DG$184)</f>
        <v>0</v>
      </c>
      <c r="DH193" s="21">
        <f>SUMIF($E$4:$E$184,"310",$DH$4:$DH$184)</f>
        <v>0</v>
      </c>
      <c r="DI193" s="21">
        <f>SUMIF($E$4:$E$186,"310",$DI$4:$DI$186)</f>
        <v>0</v>
      </c>
      <c r="DJ193" s="21">
        <f>SUMIF($E$4:$E$184,"310",$DJ$4:$DJ$184)</f>
        <v>0</v>
      </c>
      <c r="DK193" s="21">
        <f>SUMIF($E$4:$E$184,"310",$DK$4:$DK$184)</f>
        <v>0</v>
      </c>
      <c r="DL193" s="21">
        <f>SUMIF($E$4:$E$186,"310",$DL$4:$DL$186)</f>
        <v>0</v>
      </c>
      <c r="DM193" s="21">
        <f>SUMIF($E$4:$E$186,"310",$DM$4:$DM$186)</f>
        <v>161000000</v>
      </c>
      <c r="DN193" s="21">
        <f>SUMIF($E$4:$E$186,"310",$DN$4:$DN$186)</f>
        <v>114377348</v>
      </c>
      <c r="DO193" s="21">
        <f>SUMIF($E$4:$E$184,"310",$DO$4:$DO$184)</f>
        <v>0</v>
      </c>
      <c r="DP193" s="21">
        <f>SUMIF($E$4:$E$184,"310",$DP$4:$DP$184)</f>
        <v>0</v>
      </c>
      <c r="DQ193" s="21">
        <f>SUMIF($E$4:$E$184,"310",$DQ$4:$DQ$184)</f>
        <v>0</v>
      </c>
      <c r="DR193" s="21">
        <f>SUMIF($E$4:$E$186,"310",$DR$4:$DR$186)</f>
        <v>76056395</v>
      </c>
    </row>
    <row r="194" spans="3:133" x14ac:dyDescent="0.25">
      <c r="C194" s="36"/>
      <c r="D194" s="35" t="s">
        <v>6</v>
      </c>
      <c r="E194" s="44">
        <v>410</v>
      </c>
      <c r="F194" s="32"/>
      <c r="G194" s="19">
        <f>SUMIF($E$4:$E$186,"410",$G$4:$G$186)</f>
        <v>4593000000</v>
      </c>
      <c r="H194" s="19">
        <f>SUMIF($E$4:$E$186,"410",$H$4:$H$186)</f>
        <v>3115857051</v>
      </c>
      <c r="I194" s="19">
        <f>SUMIF($E$4:$E$186,"410",$I$4:$I$186)</f>
        <v>3366660918</v>
      </c>
      <c r="J194" s="32"/>
      <c r="K194" s="32"/>
      <c r="L194" s="32"/>
      <c r="M194" s="27">
        <f>SUMIF($E$4:$E$186,"410",$M$4:$M$186)</f>
        <v>6482517969</v>
      </c>
      <c r="N194" s="27">
        <f>SUMIF($E$4:$E$186,"410",$N$4:$N$186)</f>
        <v>0</v>
      </c>
      <c r="O194" s="33">
        <f>SUMIF($E$4:$E$184,"410",$O$4:$O$184)</f>
        <v>134533656</v>
      </c>
      <c r="P194" s="33">
        <f>SUMIF($E$4:$E$187,"410",$P$4:$P$187)</f>
        <v>396726534</v>
      </c>
      <c r="Q194" s="33">
        <f>SUMIF($E$4:$E$187,"410",$Q$4:$Q$187)</f>
        <v>775722031</v>
      </c>
      <c r="R194" s="27">
        <f>SUMIF($E$4:$E$186,"410",$R$4:$R$186)</f>
        <v>0</v>
      </c>
      <c r="S194" s="32">
        <f>SUMIF($E$4:$E$184,"410",$S$4:$S$184)</f>
        <v>544180877</v>
      </c>
      <c r="T194" s="32">
        <f>SUMIF($E$4:$E$184,"410",$T$4:$T$184)</f>
        <v>55000000</v>
      </c>
      <c r="U194" s="32">
        <f>SUMIF($E$4:$E$184,"410",$U$4:$U$184)</f>
        <v>102810569</v>
      </c>
      <c r="V194" s="32">
        <f>SUMIF($E$4:$E$184,"410",$V$4:$V$184)</f>
        <v>219471348</v>
      </c>
      <c r="W194" s="32">
        <f>SUMIF($E$4:$E$184,"410",$W$4:$W$184)</f>
        <v>0</v>
      </c>
      <c r="X194" s="32">
        <f>SUMIF($E$4:$E$184,"410",$X$4:$X$184)</f>
        <v>0</v>
      </c>
      <c r="Y194" s="32">
        <f>SUMIF($E$4:$E$184,"410",$Y$4:$Y$184)</f>
        <v>0</v>
      </c>
      <c r="Z194" s="32">
        <f>SUMIF($E$4:$E$184,"410",$Z$4:$Z$184)</f>
        <v>3504013680</v>
      </c>
      <c r="AA194" s="32">
        <f>SUMIF($E$4:$E$184,"410",$AA$4:$AA$184)</f>
        <v>78609139</v>
      </c>
      <c r="AB194" s="32">
        <f>SUMIF($E$4:$E$184,"410",$AB$4:$AB$184)</f>
        <v>251718083</v>
      </c>
      <c r="AC194" s="32">
        <f>SUMIF($E$4:$E$155,"410",$AC$4:$AC$155)</f>
        <v>261973650</v>
      </c>
      <c r="AD194" s="32">
        <f>SUMIF($E$4:$E$155,"410",$AD$4:$AD$155)</f>
        <v>0</v>
      </c>
      <c r="AE194" s="32">
        <f>SUMIF($E$4:$E$184,"410",$AE$4:$AE$184)</f>
        <v>80844085</v>
      </c>
      <c r="AF194" s="32">
        <f>SUMIF($E$4:$E$184,"410",$AF$4:$AF$184)</f>
        <v>0</v>
      </c>
      <c r="AG194" s="32">
        <f>SUMIF($E$4:$E$186,"410",$AG$4:$AG$186)</f>
        <v>76914317</v>
      </c>
      <c r="AI194" s="31">
        <f t="shared" si="334"/>
        <v>0.81929652943473397</v>
      </c>
      <c r="AJ194" s="30">
        <f t="shared" si="335"/>
        <v>5311104474</v>
      </c>
      <c r="AK194" s="27">
        <f>SUMIF($E$4:$E$184,"410",$AK$4:$AK$184)</f>
        <v>0</v>
      </c>
      <c r="AL194" s="27">
        <f>SUMIF($E$4:$E$186,"410",$AL$4:$AL$186)</f>
        <v>133268976</v>
      </c>
      <c r="AM194" s="27">
        <f>SUMIF($E$4:$E$186,"410",$AM$4:$AM$186)</f>
        <v>396726534</v>
      </c>
      <c r="AN194" s="27">
        <f>SUMIF($E$4:$E$186,"410",$AN$4:$AN$186)</f>
        <v>775722031</v>
      </c>
      <c r="AO194" s="27">
        <f>SUMIF($E$4:$E$184,"410",$AO$4:$AO$184)</f>
        <v>0</v>
      </c>
      <c r="AP194" s="27">
        <f>SUMIF($E$4:$E$184,"410",$AP$4:$AP$184)</f>
        <v>544180877</v>
      </c>
      <c r="AQ194" s="27">
        <f>SUMIF($E$4:$E$186,"410",$AQ$4:$AQ$186)</f>
        <v>55000000</v>
      </c>
      <c r="AR194" s="27">
        <f>SUMIF($E$4:$E$186,"410",$AR$4:$AR$186)</f>
        <v>102810569</v>
      </c>
      <c r="AS194" s="27">
        <f>SUMIF($E$4:$E$184,"410",$AS$4:$AS$184)</f>
        <v>219471348</v>
      </c>
      <c r="AT194" s="27">
        <f>SUMIF($E$4:$E$184,"410",$AT$4:$AT$184)</f>
        <v>0</v>
      </c>
      <c r="AU194" s="27">
        <f>SUMIF($E$4:$E$155,"410",$AU$4:$AU$155)</f>
        <v>0</v>
      </c>
      <c r="AV194" s="27">
        <f>SUMIF($E$4:$E$184,"410",$AV$4:$AV$184)</f>
        <v>0</v>
      </c>
      <c r="AW194" s="27">
        <f>SUMIF($E$4:$E$184,"410",$AW$4:$AW$184)</f>
        <v>2385795017</v>
      </c>
      <c r="AX194" s="27">
        <f>SUMIF($E$4:$E$184,"410",$AX$4:$AX$184)</f>
        <v>68609139</v>
      </c>
      <c r="AY194" s="27">
        <f>SUMIF($E$4:$E$186,"410",$AY$4:$AY$186)</f>
        <v>235765054</v>
      </c>
      <c r="AZ194" s="27">
        <f>SUMIF($E$4:$E$184,"410",$AZ$4:$AZ$184)</f>
        <v>261973590</v>
      </c>
      <c r="BA194" s="27">
        <f>SUMIF($E$4:$E$184,"410",$BA$4:$BA$184)</f>
        <v>0</v>
      </c>
      <c r="BB194" s="27">
        <f>SUMIF($E$4:$E$184,"410",$BB$4:$BB$184)</f>
        <v>80844085</v>
      </c>
      <c r="BC194" s="27">
        <f>SUMIF($E$4:$E$184,"410",$BC$4:$BC$184)</f>
        <v>0</v>
      </c>
      <c r="BD194" s="27">
        <f>SUMIF($E$4:$E$186,"410",$BD$4:$BD$186)</f>
        <v>50937254</v>
      </c>
      <c r="BE194" s="16">
        <f t="shared" si="336"/>
        <v>0.18070347056526603</v>
      </c>
      <c r="BF194" s="24">
        <f t="shared" si="337"/>
        <v>1171413495</v>
      </c>
      <c r="BG194" s="22">
        <f>SUMIF($E$4:$E$184,"410",$BG$4:$BG$184)</f>
        <v>0</v>
      </c>
      <c r="BH194" s="22">
        <f>SUMIF($E$4:$E$184,"410",$BH$4:$BH$184)</f>
        <v>1264680</v>
      </c>
      <c r="BI194" s="22">
        <f>SUMIF($E$4:$E$184,"410",$BI$4:$BI$184)</f>
        <v>0</v>
      </c>
      <c r="BJ194" s="22">
        <f>SUMIF($E$4:$E$186,"410",$BJ$4:$BJ$186)</f>
        <v>0</v>
      </c>
      <c r="BK194" s="22">
        <f>SUMIF($E$4:$E$186,"410",$BK$4:$BK$186)</f>
        <v>0</v>
      </c>
      <c r="BL194" s="22">
        <f>SUMIF($E$4:$E$186,"410",$BL$4:$BL$186)</f>
        <v>0</v>
      </c>
      <c r="BM194" s="22">
        <f>SUMIF($E$4:$E$184,"410",$BM$4:$BM$184)</f>
        <v>0</v>
      </c>
      <c r="BN194" s="22">
        <f>SUMIF($E$4:$E$184,"410",$BN$4:$BN$184)</f>
        <v>0</v>
      </c>
      <c r="BO194" s="22">
        <f>SUMIF($E$4:$E$184,"410",$BO$4:$BO$184)</f>
        <v>0</v>
      </c>
      <c r="BP194" s="22">
        <f>SUMIF($E$4:$E$184,"410",$BP$4:$BP$184)</f>
        <v>0</v>
      </c>
      <c r="BQ194" s="22">
        <f>SUMIF($E$4:$E$184,"410",$BQ$4:$BQ$184)</f>
        <v>0</v>
      </c>
      <c r="BR194" s="22">
        <f>SUMIF($E$4:$E$184,"410",$BR$4:$BR$184)</f>
        <v>0</v>
      </c>
      <c r="BS194" s="22">
        <f>SUMIF($E$4:$E$184,"410",$BS$4:$BS$184)</f>
        <v>1118218663</v>
      </c>
      <c r="BT194" s="22">
        <f>SUMIF($E$4:$E$184,"410",$BT$4:$BT$184)</f>
        <v>10000000</v>
      </c>
      <c r="BU194" s="22">
        <f>SUMIF($E$4:$E$184,"410",$BU$4:$BU$184)</f>
        <v>15953029</v>
      </c>
      <c r="BV194" s="22">
        <f>SUMIF($E$4:$E$184,"410",$BV$4:$BV$184)</f>
        <v>60</v>
      </c>
      <c r="BW194" s="22">
        <f>SUMIF($E$4:$E$184,"510",$BW$4:$BW$184)</f>
        <v>0</v>
      </c>
      <c r="BX194" s="22">
        <f>SUMIF($E$4:$E$184,"410",$BX$4:$BX$184)</f>
        <v>0</v>
      </c>
      <c r="BY194" s="22">
        <f>SUMIF($E$4:$E$184,"410",$BY$4:$BY$184)</f>
        <v>0</v>
      </c>
      <c r="BZ194" s="29">
        <f>SUMIF($E$4:$E$186,"410",$BZ$4:$BZ$186)</f>
        <v>25977063</v>
      </c>
      <c r="CA194" s="28">
        <f t="shared" si="338"/>
        <v>0.48065536661839064</v>
      </c>
      <c r="CB194" s="24">
        <f t="shared" si="339"/>
        <v>3115857051</v>
      </c>
      <c r="CC194" s="27">
        <f>SUMIF($E$4:$E$186,"410",$CC$4:$CC$186)</f>
        <v>0</v>
      </c>
      <c r="CD194" s="27">
        <f>SUMIF($E$4:$E$184,"410",$CD$4:$CD$184)</f>
        <v>133268976</v>
      </c>
      <c r="CE194" s="27">
        <f>SUMIF($E$4:$E$184,"410",$CE$4:$CE$184)</f>
        <v>396726534</v>
      </c>
      <c r="CF194" s="27">
        <f>SUMIF($E$4:$E$184,"410",$CF$4:$CF$184)</f>
        <v>560309881</v>
      </c>
      <c r="CG194" s="27">
        <f>SUMIF($E$4:$E$186,"410",$CG$4:$CG$186)</f>
        <v>0</v>
      </c>
      <c r="CH194" s="27">
        <f>SUMIF($E$4:$E$184,"410",$CH$4:$CH$184)</f>
        <v>373292464</v>
      </c>
      <c r="CI194" s="27">
        <f>SUMIF($E$4:$E$184,"410",$CI$4:$CI$184)</f>
        <v>36214247</v>
      </c>
      <c r="CJ194" s="27">
        <f>SUMIF($E$4:$E$186,"410",$CJ$4:$CJ$186)</f>
        <v>102810569</v>
      </c>
      <c r="CK194" s="27">
        <f>SUMIF($E$4:$E$184,"410",$CK$4:$CK$184)</f>
        <v>127534316</v>
      </c>
      <c r="CL194" s="27">
        <f>SUMIF($E$4:$E$184,"410",$CL$4:$CL$184)</f>
        <v>0</v>
      </c>
      <c r="CM194" s="27">
        <f>SUMIF($E$4:$E$184,"410",$CM$4:$CM$184)</f>
        <v>0</v>
      </c>
      <c r="CN194" s="27">
        <f>SUMIF($E$4:$E$184,"410",$CN$4:$CN$184)</f>
        <v>0</v>
      </c>
      <c r="CO194" s="27">
        <f>SUMIF($E$4:$E$184,"410",$CO$4:$CO$184)</f>
        <v>1103661099</v>
      </c>
      <c r="CP194" s="27">
        <f>SUMIF($E$4:$E$184,"410",$CP$4:$CP$184)</f>
        <v>48706082</v>
      </c>
      <c r="CQ194" s="27">
        <f>SUMIF($E$4:$E$184,"410",$CQ$4:$CQ$184)</f>
        <v>136779453</v>
      </c>
      <c r="CR194" s="27">
        <f>SUMIF($E$4:$E$184,"410",$CR$4:$CR$184)</f>
        <v>56878541</v>
      </c>
      <c r="CS194" s="27">
        <f>SUMIF($E$4:$E$184,"410",$CS$4:$CS$184)</f>
        <v>0</v>
      </c>
      <c r="CT194" s="27">
        <f>SUMIF($E$4:$E$184,"410",$CT$4:$CT$184)</f>
        <v>25815097</v>
      </c>
      <c r="CU194" s="27">
        <f>SUMIF($E$4:$E$184,"410",$CU$4:$CU$184)</f>
        <v>0</v>
      </c>
      <c r="CV194" s="26">
        <f>SUMIF($E$4:$E$184,"410",$CV$4:$CV$184)</f>
        <v>13859792</v>
      </c>
      <c r="CW194" s="25">
        <f t="shared" si="340"/>
        <v>0.51934463338160941</v>
      </c>
      <c r="CX194" s="24">
        <f t="shared" si="341"/>
        <v>3366660918</v>
      </c>
      <c r="CY194" s="23">
        <f>SUMIF($E$4:$E$186,"410",$CY$4:$CY$186)</f>
        <v>0</v>
      </c>
      <c r="CZ194" s="22">
        <f>SUMIF($E$4:$E$184,"410",$CZ$4:$CZ$184)</f>
        <v>1264680</v>
      </c>
      <c r="DA194" s="22">
        <f>SUMIF($E$4:$E$186,"410",$DA$4:$DA$186)</f>
        <v>0</v>
      </c>
      <c r="DB194" s="22">
        <f>SUMIF($E$4:$E$186,"410",$DB$4:$DB$186)</f>
        <v>215412150</v>
      </c>
      <c r="DC194" s="22">
        <f>SUMIF($E$4:$E$186,"410",$DC$4:$DC$186)</f>
        <v>0</v>
      </c>
      <c r="DD194" s="22">
        <f>SUMIF($E$4:$E$186,"410",$DD$4:$DD$186)</f>
        <v>170888413</v>
      </c>
      <c r="DE194" s="22">
        <f>SUMIF($E$4:$E$186,"410",$DE$4:$DE$186)</f>
        <v>18785753</v>
      </c>
      <c r="DF194" s="22">
        <f>SUMIF($E$4:$E$186,"410",$DF$4:$DF$186)</f>
        <v>0</v>
      </c>
      <c r="DG194" s="21">
        <f>SUMIF($E$4:$E$184,"410",$DG$4:$DG$184)</f>
        <v>91937032</v>
      </c>
      <c r="DH194" s="21">
        <f>SUMIF($E$4:$E$184,"410",$DH$4:$DH$184)</f>
        <v>0</v>
      </c>
      <c r="DI194" s="21">
        <f>SUMIF($E$4:$E$186,"410",$DI$4:$DI$186)</f>
        <v>0</v>
      </c>
      <c r="DJ194" s="21">
        <f>SUMIF($E$4:$E$184,"410",$DJ$4:$DJ$184)</f>
        <v>0</v>
      </c>
      <c r="DK194" s="21">
        <f>SUMIF($E$4:$E$184,"410",$DK$4:$DK$184)</f>
        <v>2400352581</v>
      </c>
      <c r="DL194" s="21">
        <f>SUMIF($E$4:$E$186,"410",$DL$4:$DL$186)</f>
        <v>29903057</v>
      </c>
      <c r="DM194" s="21">
        <f>SUMIF($E$4:$E$186,"410",$DM$4:$DM$186)</f>
        <v>114938630</v>
      </c>
      <c r="DN194" s="21">
        <f>SUMIF($E$4:$E$184,"410",$DN$4:$DN$184)</f>
        <v>205095109</v>
      </c>
      <c r="DO194" s="21">
        <f>SUMIF($E$4:$E$184,"410",$DO$4:$DO$184)</f>
        <v>0</v>
      </c>
      <c r="DP194" s="21">
        <f>SUMIF($E$4:$E$184,"410",$DP$4:$DP$184)</f>
        <v>55028988</v>
      </c>
      <c r="DQ194" s="21">
        <f>SUMIF($E$4:$E$184,"410",$DQ$4:$DQ$184)</f>
        <v>0</v>
      </c>
      <c r="DR194" s="21">
        <f>SUMIF($E$4:$E$186,"410",$DR$4:$DR$186)</f>
        <v>63054525</v>
      </c>
    </row>
    <row r="195" spans="3:133" ht="14.25" customHeight="1" x14ac:dyDescent="0.25">
      <c r="C195" s="36"/>
      <c r="D195" s="35" t="s">
        <v>5</v>
      </c>
      <c r="E195" s="44">
        <v>510</v>
      </c>
      <c r="F195" s="32"/>
      <c r="G195" s="19">
        <f>SUMIF($E$4:$E$186,"510",$G$4:$G$186)</f>
        <v>1300000000</v>
      </c>
      <c r="H195" s="19">
        <f>SUMIF($E$4:$E$186,"510",$H$4:$H$186)</f>
        <v>719562117</v>
      </c>
      <c r="I195" s="19">
        <f>SUMIF($E$4:$E$186,"510",$I$4:$I$186)</f>
        <v>711137883</v>
      </c>
      <c r="J195" s="32"/>
      <c r="K195" s="32"/>
      <c r="L195" s="32"/>
      <c r="M195" s="27">
        <f>SUMIF($E$4:$E$186,"510",$M$4:$M$186)</f>
        <v>1430700000</v>
      </c>
      <c r="N195" s="27">
        <f>SUMIF($E$4:$E$186,"510",$N$4:$N$186)</f>
        <v>0</v>
      </c>
      <c r="O195" s="33">
        <f>SUMIF($E$4:$E$184,"510",$O$4:$O$184)</f>
        <v>0</v>
      </c>
      <c r="P195" s="33">
        <f>SUMIF($E$4:$E$187,"510",$P$4:$P$187)</f>
        <v>0</v>
      </c>
      <c r="Q195" s="33">
        <f>SUMIF($E$4:$E$187,"510",$Q$4:$Q$187)</f>
        <v>0</v>
      </c>
      <c r="R195" s="27">
        <f>SUMIF($E$4:$E$186,"510",$R$4:$R$186)</f>
        <v>0</v>
      </c>
      <c r="S195" s="32">
        <f>SUMIF($E$4:$E$184,"510",$S$4:$S$184)</f>
        <v>670000000</v>
      </c>
      <c r="T195" s="32">
        <f>SUMIF($E$4:$E$184,"510",$T$4:$T$184)</f>
        <v>0</v>
      </c>
      <c r="U195" s="32">
        <f>SUMIF($E$4:$E$184,"510",$U$4:$U$184)</f>
        <v>0</v>
      </c>
      <c r="V195" s="32">
        <f>SUMIF($E$4:$E$184,"510",$V$4:$V$184)</f>
        <v>0</v>
      </c>
      <c r="W195" s="32">
        <f>SUMIF($E$4:$E$184,"510",$W$4:$W$184)</f>
        <v>0</v>
      </c>
      <c r="X195" s="32">
        <f>SUMIF($E$4:$E$184,"510",$X$4:$X$184)</f>
        <v>0</v>
      </c>
      <c r="Y195" s="32">
        <f>SUMIF($E$4:$E$184,"510",$Y$4:$Y$184)</f>
        <v>0</v>
      </c>
      <c r="Z195" s="32">
        <f>SUMIF($E$4:$E$184,"510",$Z$4:$Z$184)</f>
        <v>0</v>
      </c>
      <c r="AA195" s="32">
        <f>SUMIF($E$4:$E$184,"510",$AA$4:$AA$184)</f>
        <v>270000000</v>
      </c>
      <c r="AB195" s="32">
        <f>SUMIF($E$4:$E$184,"510",$AB$4:$AB$184)</f>
        <v>150000000</v>
      </c>
      <c r="AC195" s="32">
        <f>SUMIF($E$4:$E$184,"510",$AC$4:$AC$184)</f>
        <v>239500000</v>
      </c>
      <c r="AD195" s="32">
        <f>SUMIF($E$4:$E$155,"510",$AD$4:$AD$155)</f>
        <v>0</v>
      </c>
      <c r="AE195" s="32">
        <f>SUMIF($E$4:$E$184,"510",$AE$4:$AE$184)</f>
        <v>0</v>
      </c>
      <c r="AF195" s="32">
        <f>SUMIF($E$4:$E$184,"510",$AF$4:$AF$184)</f>
        <v>0</v>
      </c>
      <c r="AG195" s="32">
        <f>SUMIF($E$4:$E$186,"510",$AG$4:$AG$186)</f>
        <v>101200000</v>
      </c>
      <c r="AI195" s="31">
        <f t="shared" si="334"/>
        <v>0.63691378136576504</v>
      </c>
      <c r="AJ195" s="30">
        <f t="shared" si="335"/>
        <v>911232547</v>
      </c>
      <c r="AK195" s="27">
        <f>SUMIF($E$4:$E$184,"510",$AK$4:$AK$184)</f>
        <v>0</v>
      </c>
      <c r="AL195" s="27">
        <f>SUMIF($E$4:$E$186,"510",$AL$4:$AL$186)</f>
        <v>0</v>
      </c>
      <c r="AM195" s="27">
        <f>SUMIF($E$4:$E$186,"510",$AM$4:$AM$186)</f>
        <v>0</v>
      </c>
      <c r="AN195" s="27">
        <f>SUMIF($E$4:$E$186,"510",$AN$4:$AN$186)</f>
        <v>0</v>
      </c>
      <c r="AO195" s="27">
        <f>SUMIF($E$4:$E$184,"510",$AO$4:$AO$184)</f>
        <v>0</v>
      </c>
      <c r="AP195" s="27">
        <f>SUMIF($E$4:$E$184,"510",$AP$4:$AP$184)</f>
        <v>370867951</v>
      </c>
      <c r="AQ195" s="27">
        <f>SUMIF($E$4:$E$186,"510",$AQ$4:$AQ$186)</f>
        <v>0</v>
      </c>
      <c r="AR195" s="27">
        <f>SUMIF($E$4:$E$186,"510",$AR$4:$AR$186)</f>
        <v>0</v>
      </c>
      <c r="AS195" s="27">
        <f>SUMIF($E$4:$E$184,"510",$AS$4:$AS$184)</f>
        <v>0</v>
      </c>
      <c r="AT195" s="27">
        <f>SUMIF($E$4:$E$184,"510",$AT$4:$AT$184)</f>
        <v>0</v>
      </c>
      <c r="AU195" s="27">
        <f>SUMIF($E$4:$E$155,"510",$AU$4:$AU$155)</f>
        <v>0</v>
      </c>
      <c r="AV195" s="27">
        <f>SUMIF($E$4:$E$184,"510",$AV$4:$AV$184)</f>
        <v>0</v>
      </c>
      <c r="AW195" s="27">
        <f>SUMIF($E$4:$E$184,"510",$AW$4:$AW$184)</f>
        <v>0</v>
      </c>
      <c r="AX195" s="27">
        <f>SUMIF($E$4:$E$184,"510",$AX$4:$AX$184)</f>
        <v>126214863</v>
      </c>
      <c r="AY195" s="27">
        <f>SUMIF($E$4:$E$186,"510",$AY$4:$AY$186)</f>
        <v>109649906</v>
      </c>
      <c r="AZ195" s="27">
        <f>SUMIF($E$4:$E$184,"510",$AZ$4:$AZ$184)</f>
        <v>227203720</v>
      </c>
      <c r="BA195" s="27">
        <f>SUMIF($E$4:$E$184,"510",$BA$4:$BA$184)</f>
        <v>0</v>
      </c>
      <c r="BB195" s="27">
        <f>SUMIF($E$4:$E$184,"510",$BB$4:$BB$184)</f>
        <v>0</v>
      </c>
      <c r="BC195" s="27">
        <f>SUMIF($E$4:$E$184," 510",$BC$4:$BC$184)</f>
        <v>0</v>
      </c>
      <c r="BD195" s="27">
        <f>SUMIF($E$4:$E$186,"510",$BD$4:$BD$186)</f>
        <v>77296107</v>
      </c>
      <c r="BE195" s="16">
        <f t="shared" si="336"/>
        <v>0.36308621863423496</v>
      </c>
      <c r="BF195" s="24">
        <f t="shared" si="337"/>
        <v>519467453</v>
      </c>
      <c r="BG195" s="22">
        <f>SUMIF($E$4:$E$184,"510",$BG$4:$BG$184)</f>
        <v>0</v>
      </c>
      <c r="BH195" s="22">
        <f>SUMIF($E$4:$E$184,"510",$BH$4:$BH$184)</f>
        <v>0</v>
      </c>
      <c r="BI195" s="22">
        <f>SUMIF($E$4:$E$184,"510",$BI$4:$BI$184)</f>
        <v>0</v>
      </c>
      <c r="BJ195" s="22">
        <f>SUMIF($E$4:$E$186,"510",$BJ$4:$BJ$186)</f>
        <v>0</v>
      </c>
      <c r="BK195" s="22">
        <f>SUMIF($E$4:$E$186,"510",$BK$4:$BK$186)</f>
        <v>0</v>
      </c>
      <c r="BL195" s="22">
        <f>SUMIF($E$4:$E$186,"510",$BL$4:$BL$186)</f>
        <v>299132049</v>
      </c>
      <c r="BM195" s="22">
        <f>SUMIF($E$4:$E$184,"510",$BM$4:$BM$184)</f>
        <v>0</v>
      </c>
      <c r="BN195" s="22">
        <f>SUMIF($E$4:$E$184,"510",$BN$4:$BN$184)</f>
        <v>0</v>
      </c>
      <c r="BO195" s="22">
        <f>SUMIF($E$4:$E$184,"510",$BO$4:$BO$184)</f>
        <v>0</v>
      </c>
      <c r="BP195" s="22">
        <f>SUMIF($E$4:$E$184,"510",$BP$4:$BP$184)</f>
        <v>0</v>
      </c>
      <c r="BQ195" s="22">
        <f>SUMIF($E$4:$E$184,"510",$BQ$4:$BQ$184)</f>
        <v>0</v>
      </c>
      <c r="BR195" s="22">
        <f>SUMIF($E$4:$E$184,"510",$BR$4:$BR$184)</f>
        <v>0</v>
      </c>
      <c r="BS195" s="22">
        <f>SUMIF($E$4:$E$184,"510",$BS$4:$BS$184)</f>
        <v>0</v>
      </c>
      <c r="BT195" s="22">
        <f>SUMIF($E$4:$E$184,"510",$BT$4:$BT$184)</f>
        <v>143785137</v>
      </c>
      <c r="BU195" s="22">
        <f>SUMIF($E$4:$E$184,"510",$BU$4:$BU$184)</f>
        <v>40350094</v>
      </c>
      <c r="BV195" s="22">
        <f>SUMIF($E$4:$E$184,"510",$BV$4:$BV$184)</f>
        <v>12296280</v>
      </c>
      <c r="BW195" s="22">
        <f>SUMIF($E$4:$E$184,"520",$BW$4:$BW$184)</f>
        <v>0</v>
      </c>
      <c r="BX195" s="22">
        <f>SUMIF($E$4:$E$184,"510",$BX$4:$BX$184)</f>
        <v>0</v>
      </c>
      <c r="BY195" s="22">
        <f>SUMIF($E$4:$E$184,"510",$BY$4:$BY$184)</f>
        <v>0</v>
      </c>
      <c r="BZ195" s="29">
        <f>SUMIF($E$4:$E$186,"510",$BZ$4:$BZ$186)</f>
        <v>23903893</v>
      </c>
      <c r="CA195" s="28">
        <f t="shared" si="338"/>
        <v>0.50294409519815475</v>
      </c>
      <c r="CB195" s="24">
        <f t="shared" si="339"/>
        <v>719562117</v>
      </c>
      <c r="CC195" s="27">
        <f>SUMIF($E$4:$E$186,"510",$CC$4:$CC$186)</f>
        <v>0</v>
      </c>
      <c r="CD195" s="27">
        <f>SUMIF($E$4:$E$184,"510",$CD$4:$CD$184)</f>
        <v>0</v>
      </c>
      <c r="CE195" s="27">
        <f>SUMIF($E$4:$E$184,"510",$CE$4:$CE$184)</f>
        <v>0</v>
      </c>
      <c r="CF195" s="27">
        <f>SUMIF($E$4:$E$184,"510",$CF$4:$CF$184)</f>
        <v>0</v>
      </c>
      <c r="CG195" s="27">
        <f>SUMIF($E$4:$E$186,"510",$CG$4:$CG$186)</f>
        <v>0</v>
      </c>
      <c r="CH195" s="27">
        <f>SUMIF($E$4:$E$184,"510",$CH$4:$CH$184)</f>
        <v>347263417</v>
      </c>
      <c r="CI195" s="27">
        <f>SUMIF($E$4:$E$184,"510",$CI$4:$CI$184)</f>
        <v>0</v>
      </c>
      <c r="CJ195" s="27">
        <f>SUMIF($E$4:$E$186,"510",$CJ$4:$CJ$186)</f>
        <v>0</v>
      </c>
      <c r="CK195" s="27">
        <f>SUMIF($E$4:$E$184,"510",$CK$4:$CK$184)</f>
        <v>0</v>
      </c>
      <c r="CL195" s="27">
        <f>SUMIF($E$4:$E$184,"510",$CL$4:$CL$184)</f>
        <v>0</v>
      </c>
      <c r="CM195" s="27">
        <f>SUMIF($E$4:$E$184,"510",$CM$4:$CM$184)</f>
        <v>0</v>
      </c>
      <c r="CN195" s="27">
        <f>SUMIF($E$4:$E$184,"510",$CN$4:$CN$184)</f>
        <v>0</v>
      </c>
      <c r="CO195" s="27">
        <f>SUMIF($E$4:$E$184,"510",$CO$4:$CO$184)</f>
        <v>0</v>
      </c>
      <c r="CP195" s="27">
        <f>SUMIF($E$4:$E$184,"510",$CP$4:$CP$184)</f>
        <v>72513196</v>
      </c>
      <c r="CQ195" s="27">
        <f>SUMIF($E$4:$E$184,"510",$CQ$4:$CQ$184)</f>
        <v>89853407</v>
      </c>
      <c r="CR195" s="27">
        <f>SUMIF($E$4:$E$184,"510",$CR$4:$CR$184)</f>
        <v>168347392</v>
      </c>
      <c r="CS195" s="27">
        <f>SUMIF($E$4:$E$184,"510",$CS$4:$CS$184)</f>
        <v>0</v>
      </c>
      <c r="CT195" s="27">
        <f>SUMIF($E$4:$E$184,"510",$CT$4:$CT$184)</f>
        <v>0</v>
      </c>
      <c r="CU195" s="27">
        <f>SUMIF($E$4:$E$184,"510",$CU$4:$CU$184)</f>
        <v>0</v>
      </c>
      <c r="CV195" s="26">
        <f>SUMIF($E$4:$E$184,"510",$CV$4:$CV$184)</f>
        <v>41584705</v>
      </c>
      <c r="CW195" s="25">
        <f t="shared" si="340"/>
        <v>0.49705590480184525</v>
      </c>
      <c r="CX195" s="24">
        <f t="shared" si="341"/>
        <v>711137883</v>
      </c>
      <c r="CY195" s="23">
        <f>SUMIF($E$4:$E$186,"510",$CY$4:$CY$186)</f>
        <v>0</v>
      </c>
      <c r="CZ195" s="22">
        <f>SUMIF($E$4:$E$184,"510",$CZ$4:$CZ$184)</f>
        <v>0</v>
      </c>
      <c r="DA195" s="22">
        <f>SUMIF($E$4:$E$186,"510",$DA$4:$DA$186)</f>
        <v>0</v>
      </c>
      <c r="DB195" s="22">
        <f>SUMIF($E$4:$E$186,"510",$DB$4:$DB$186)</f>
        <v>0</v>
      </c>
      <c r="DC195" s="22">
        <f>SUMIF($E$4:$E$186,"510",$DC$4:$DC$186)</f>
        <v>0</v>
      </c>
      <c r="DD195" s="22">
        <f>SUMIF($E$4:$E$186,"510",$DD$4:$DD$186)</f>
        <v>322736583</v>
      </c>
      <c r="DE195" s="22">
        <f>SUMIF($E$4:$E$186,"510",$DE$4:$DE$186)</f>
        <v>0</v>
      </c>
      <c r="DF195" s="22">
        <f>SUMIF($E$4:$E$186,"510",$DF$4:$DF$186)</f>
        <v>0</v>
      </c>
      <c r="DG195" s="21">
        <f>SUMIF($E$4:$E$184,"510",$DG$4:$DG$184)</f>
        <v>0</v>
      </c>
      <c r="DH195" s="21">
        <f>SUMIF($E$4:$E$184,"510",$DH$4:$DH$184)</f>
        <v>0</v>
      </c>
      <c r="DI195" s="21">
        <f>SUMIF($E$4:$E$186,"510",$DI$4:$DI$186)</f>
        <v>0</v>
      </c>
      <c r="DJ195" s="21">
        <f>SUMIF($E$4:$E$184,"510",$DJ$4:$DJ$184)</f>
        <v>0</v>
      </c>
      <c r="DK195" s="21">
        <f>SUMIF($E$4:$E$184,"510",$DK$4:$DK$184)</f>
        <v>0</v>
      </c>
      <c r="DL195" s="21">
        <f>SUMIF($E$4:$E$186,"510",$DL$4:$DL$186)</f>
        <v>197486804</v>
      </c>
      <c r="DM195" s="21">
        <f>SUMIF($E$4:$E$186,"510",$DM$4:$DM$186)</f>
        <v>60146593</v>
      </c>
      <c r="DN195" s="21">
        <f>SUMIF($E$4:$E$184,"510",$DN$4:$DN$184)</f>
        <v>71152608</v>
      </c>
      <c r="DO195" s="21">
        <f>SUMIF($E$4:$E$184,"510",$DO$4:$DO$184)</f>
        <v>0</v>
      </c>
      <c r="DP195" s="21">
        <f>SUMIF($E$4:$E$184,"510",$DP$4:$DP$184)</f>
        <v>0</v>
      </c>
      <c r="DQ195" s="21">
        <f>SUMIF($E$4:$E$184,"510",$DQ$4:$DQ$184)</f>
        <v>0</v>
      </c>
      <c r="DR195" s="21">
        <f>SUMIF($E$4:$E$186,"510",$DR$4:$DR$186)</f>
        <v>59615295</v>
      </c>
    </row>
    <row r="196" spans="3:133" x14ac:dyDescent="0.25">
      <c r="C196" s="36"/>
      <c r="D196" s="35" t="s">
        <v>4</v>
      </c>
      <c r="E196" s="44">
        <v>520</v>
      </c>
      <c r="F196" s="32"/>
      <c r="G196" s="19">
        <f>SUMIF($E$4:$E$186,"520",$G$4:$G$186)</f>
        <v>2832000000</v>
      </c>
      <c r="H196" s="19">
        <f>SUMIF($E$4:$E$186,"520",$H$4:$H$186)</f>
        <v>1638726933</v>
      </c>
      <c r="I196" s="19">
        <f>SUMIF($E$4:$E$186,"520",$I$4:$I$186)</f>
        <v>1319780820</v>
      </c>
      <c r="J196" s="32"/>
      <c r="K196" s="32"/>
      <c r="L196" s="32"/>
      <c r="M196" s="27">
        <f>SUMIF($E$4:$E$186,"520",$M$4:$M$186)</f>
        <v>2958507753</v>
      </c>
      <c r="N196" s="27">
        <f>SUMIF($E$4:$E$186,"520",$N$4:$N$186)</f>
        <v>0</v>
      </c>
      <c r="O196" s="33">
        <f>SUMIF($E$4:$E$184,"520",$O$4:$O$184)</f>
        <v>0</v>
      </c>
      <c r="P196" s="33">
        <f>SUMIF($E$4:$E$187,"520",$P$4:$P$187)</f>
        <v>0</v>
      </c>
      <c r="Q196" s="33">
        <f>SUMIF($E$4:$E$186,"520",$Q$4:$Q$186)</f>
        <v>50000000</v>
      </c>
      <c r="R196" s="27">
        <f>SUMIF($E$4:$E$186,"520",$R$4:$R$186)</f>
        <v>72884540</v>
      </c>
      <c r="S196" s="32">
        <f>SUMIF($E$4:$E$184,"520",$S$4:$S$184)</f>
        <v>660000000</v>
      </c>
      <c r="T196" s="32">
        <f>SUMIF($E$4:$E$184,"520",$T$4:$T$184)</f>
        <v>923014856</v>
      </c>
      <c r="U196" s="32">
        <f>SUMIF($E$4:$E$184,"520",$U$4:$U$184)</f>
        <v>0</v>
      </c>
      <c r="V196" s="32">
        <f>SUMIF($E$4:$E$184,"520",$V$4:$V$184)</f>
        <v>0</v>
      </c>
      <c r="W196" s="32">
        <f>SUMIF($E$4:$E$184,"520",$W$4:$W$184)</f>
        <v>0</v>
      </c>
      <c r="X196" s="32">
        <f>SUMIF($E$4:$E$184,"520",$X$4:$X$184)</f>
        <v>0</v>
      </c>
      <c r="Y196" s="32">
        <f>SUMIF($E$4:$E$184,"520",$Y$4:$Y$184)</f>
        <v>0</v>
      </c>
      <c r="Z196" s="32">
        <f>SUMIF($E$4:$E$184,"520",$Z$4:$Z$184)</f>
        <v>610864435</v>
      </c>
      <c r="AA196" s="32">
        <f>SUMIF($E$4:$E$184,"520",$AA$4:$AA$184)</f>
        <v>0</v>
      </c>
      <c r="AB196" s="32">
        <f>SUMIF($E$4:$E$184,"520",$AB$4:$AB$184)</f>
        <v>50000000</v>
      </c>
      <c r="AC196" s="32">
        <f>SUMIF($E$4:$E$184,"520",$AC$4:$AC$184)</f>
        <v>0</v>
      </c>
      <c r="AD196" s="32">
        <f>SUMIF($E$4:$E$155,"520",$AD$4:$AD$155)</f>
        <v>0</v>
      </c>
      <c r="AE196" s="32">
        <f>SUMIF($E$4:$E$184,"520",$AE$4:$AE$184)</f>
        <v>0</v>
      </c>
      <c r="AF196" s="32">
        <f>SUMIF($E$4:$E$184,"520",$AF$4:$AF$184)</f>
        <v>0</v>
      </c>
      <c r="AG196" s="32">
        <f>SUMIF($E$4:$E$186,"520",$AG$4:$AG$186)</f>
        <v>591743922</v>
      </c>
      <c r="AI196" s="31">
        <f t="shared" si="334"/>
        <v>0.81371961271990623</v>
      </c>
      <c r="AJ196" s="30">
        <f t="shared" si="335"/>
        <v>2407395783</v>
      </c>
      <c r="AK196" s="27">
        <f>SUMIF($E$4:$E$184,"520",$AK$4:$AK$184)</f>
        <v>0</v>
      </c>
      <c r="AL196" s="27">
        <f>SUMIF($E$4:$E$186,"520",$AL$4:$AL$186)</f>
        <v>0</v>
      </c>
      <c r="AM196" s="27">
        <f>SUMIF($E$4:$E$186,"520",$AM$4:$AM$186)</f>
        <v>0</v>
      </c>
      <c r="AN196" s="27">
        <f>SUMIF($E$4:$E$186,"520",$AN$4:$AN$186)</f>
        <v>50000000</v>
      </c>
      <c r="AO196" s="27">
        <f>SUMIF($E$4:$E$184,"520",$AO$4:$AO$184)</f>
        <v>0</v>
      </c>
      <c r="AP196" s="27">
        <f>SUMIF($E$4:$E$184,"520",$AP$4:$AP$184)</f>
        <v>649180877</v>
      </c>
      <c r="AQ196" s="27">
        <f>SUMIF($E$4:$E$186,"520",$AQ$4:$AQ$186)</f>
        <v>898014856</v>
      </c>
      <c r="AR196" s="27">
        <f>SUMIF($E$4:$E$186,"520",$AR$4:$AR$186)</f>
        <v>0</v>
      </c>
      <c r="AS196" s="27">
        <f>SUMIF($E$4:$E$184,"520",$AS$4:$AS$184)</f>
        <v>0</v>
      </c>
      <c r="AT196" s="27">
        <f>SUMIF($E$4:$E$184,"520",$AT$4:$AT$184)</f>
        <v>0</v>
      </c>
      <c r="AU196" s="27">
        <f>SUMIF($E$4:$E$155,"520",$AU$4:$AU$155)</f>
        <v>0</v>
      </c>
      <c r="AV196" s="27">
        <f>SUMIF($E$4:$E$184,"520",$AV$4:$AV$184)</f>
        <v>0</v>
      </c>
      <c r="AW196" s="27">
        <f>SUMIF($E$4:$E$184,"520",$AW$4:$AW$184)</f>
        <v>221128226</v>
      </c>
      <c r="AX196" s="27">
        <f>SUMIF($E$4:$E$184,"520",$AX$4:$AX$184)</f>
        <v>0</v>
      </c>
      <c r="AY196" s="27">
        <f>SUMIF($E$4:$E$186,"520",$AY$4:$AY$186)</f>
        <v>50000000</v>
      </c>
      <c r="AZ196" s="27">
        <f>SUMIF($E$4:$E$184,"520",$AZ$4:$AZ$184)</f>
        <v>0</v>
      </c>
      <c r="BA196" s="27">
        <f>SUMIF($E$4:$E$184,"520",$BA$4:$BA$184)</f>
        <v>0</v>
      </c>
      <c r="BB196" s="27">
        <f>SUMIF($E$4:$E$184,"520",$BB$4:$BB$184)</f>
        <v>0</v>
      </c>
      <c r="BC196" s="27">
        <f>SUMIF($E$4:$E$184,"520",$BC$4:$BC$184)</f>
        <v>0</v>
      </c>
      <c r="BD196" s="27">
        <f>SUMIF($E$4:$E$186,"520",$BD$4:$BD$186)</f>
        <v>539071824</v>
      </c>
      <c r="BE196" s="16">
        <f t="shared" si="336"/>
        <v>0.18628038728009377</v>
      </c>
      <c r="BF196" s="24">
        <f t="shared" si="337"/>
        <v>551111970</v>
      </c>
      <c r="BG196" s="22">
        <f>SUMIF($E$4:$E$184,"520",$BG$4:$BG$184)</f>
        <v>0</v>
      </c>
      <c r="BH196" s="22">
        <f>SUMIF($E$4:$E$184,"520",$BH$4:$BH$184)</f>
        <v>0</v>
      </c>
      <c r="BI196" s="22">
        <f>SUMIF($E$4:$E$184,"520",$BI$4:$BI$184)</f>
        <v>0</v>
      </c>
      <c r="BJ196" s="22">
        <f>SUMIF($E$4:$E$186,"520",$BJ$4:$BJ$186)</f>
        <v>0</v>
      </c>
      <c r="BK196" s="22">
        <f>SUMIF($E$4:$E$186,"520",$BK$4:$BK$186)</f>
        <v>72884540</v>
      </c>
      <c r="BL196" s="22">
        <f>SUMIF($E$4:$E$186,"520",$BL$4:$BL$186)</f>
        <v>10819123</v>
      </c>
      <c r="BM196" s="22">
        <f>SUMIF($E$4:$E$184,"520",$BM$4:$BM$184)</f>
        <v>25000000</v>
      </c>
      <c r="BN196" s="22">
        <f>SUMIF($E$4:$E$184,"520",$BN$4:$BN$184)</f>
        <v>0</v>
      </c>
      <c r="BO196" s="22">
        <f>SUMIF($E$4:$E$184,"520",$BO$4:$BO$184)</f>
        <v>0</v>
      </c>
      <c r="BP196" s="22">
        <f>SUMIF($E$4:$E$184,"520",$BP$4:$BP$184)</f>
        <v>0</v>
      </c>
      <c r="BQ196" s="22">
        <f>SUMIF($E$4:$E$184,"520",$BQ$4:$BQ$184)</f>
        <v>0</v>
      </c>
      <c r="BR196" s="22">
        <f>SUMIF($E$4:$E$184,"520",$BR$4:$BR$184)</f>
        <v>0</v>
      </c>
      <c r="BS196" s="22">
        <f>SUMIF($E$4:$E$184,"520",$BS$4:$BS$184)</f>
        <v>389736209</v>
      </c>
      <c r="BT196" s="22">
        <f>SUMIF($E$4:$E$184,"520",$BT$4:$BT$184)</f>
        <v>0</v>
      </c>
      <c r="BU196" s="22">
        <f>SUMIF($E$4:$E$184,"520",$BU$4:$BU$184)</f>
        <v>0</v>
      </c>
      <c r="BV196" s="22">
        <f>SUMIF($E$4:$E$184,"520",$BV$4:$BV$184)</f>
        <v>0</v>
      </c>
      <c r="BW196" s="22">
        <f>SUMIF($E$4:$E$184,"111",$BW$4:$BW$184)</f>
        <v>0</v>
      </c>
      <c r="BX196" s="22">
        <f>SUMIF($E$4:$E$184,"520",$BX$4:$BX$184)</f>
        <v>0</v>
      </c>
      <c r="BY196" s="22">
        <f>SUMIF($E$4:$E$184,"520",$BY$4:$BY$184)</f>
        <v>0</v>
      </c>
      <c r="BZ196" s="29">
        <f>SUMIF($E$4:$E$186,"520",$BZ$4:$BZ$186)</f>
        <v>52672098</v>
      </c>
      <c r="CA196" s="28">
        <f t="shared" si="338"/>
        <v>0.55390320722948605</v>
      </c>
      <c r="CB196" s="24">
        <f t="shared" si="339"/>
        <v>1638726933</v>
      </c>
      <c r="CC196" s="27">
        <f>SUMIF($E$4:$E$186,"520",$CC$4:$CC$186)</f>
        <v>0</v>
      </c>
      <c r="CD196" s="27">
        <f>SUMIF($E$4:$E$184,"520",$CD$4:$CD$184)</f>
        <v>0</v>
      </c>
      <c r="CE196" s="27">
        <f>SUMIF($E$4:$E$184,"520",$CE$4:$CE$184)</f>
        <v>0</v>
      </c>
      <c r="CF196" s="27">
        <f>SUMIF($E$4:$E$184,"520",$CF$4:$CF$184)</f>
        <v>40000000</v>
      </c>
      <c r="CG196" s="27">
        <f>SUMIF($E$4:$E$186,"520",$CG$4:$CG$186)</f>
        <v>0</v>
      </c>
      <c r="CH196" s="27">
        <f>SUMIF($E$4:$E$184,"520",$CH$4:$CH$184)</f>
        <v>478813038</v>
      </c>
      <c r="CI196" s="27">
        <f>SUMIF($E$4:$E$184,"520",$CI$4:$CI$184)</f>
        <v>545087024</v>
      </c>
      <c r="CJ196" s="27">
        <f>SUMIF($E$4:$E$186,"520",$CJ$4:$CJ$186)</f>
        <v>0</v>
      </c>
      <c r="CK196" s="27">
        <f>SUMIF($E$4:$E$184,"520",$CK$4:$CK$184)</f>
        <v>0</v>
      </c>
      <c r="CL196" s="27">
        <f>SUMIF($E$4:$E$184,"520",$CL$4:$CL$184)</f>
        <v>0</v>
      </c>
      <c r="CM196" s="27">
        <f>SUMIF($E$4:$E$184,"520",$CM$4:$CM$184)</f>
        <v>0</v>
      </c>
      <c r="CN196" s="27">
        <f>SUMIF($E$4:$E$184,"520",$CN$4:$CN$184)</f>
        <v>0</v>
      </c>
      <c r="CO196" s="27">
        <f>SUMIF($E$4:$E$184,"520",$CO$4:$CO$184)</f>
        <v>104600638</v>
      </c>
      <c r="CP196" s="27">
        <f>SUMIF($E$4:$E$184,"520",$CP$4:$CP$184)</f>
        <v>0</v>
      </c>
      <c r="CQ196" s="27">
        <f>SUMIF($E$4:$E$184,"520",$CQ$4:$CQ$184)</f>
        <v>23814210</v>
      </c>
      <c r="CR196" s="27">
        <f>SUMIF($E$4:$E$184,"520",$CR$4:$CR$184)</f>
        <v>0</v>
      </c>
      <c r="CS196" s="27">
        <f>SUMIF($E$4:$E$184,"520",$CS$4:$CS$184)</f>
        <v>0</v>
      </c>
      <c r="CT196" s="27">
        <f>SUMIF($E$4:$E$184,"520",$CT$4:$CT$184)</f>
        <v>0</v>
      </c>
      <c r="CU196" s="27">
        <f>SUMIF($E$4:$E$184,"520",$CU$4:$CU$184)</f>
        <v>0</v>
      </c>
      <c r="CV196" s="26">
        <f>SUMIF($E$4:$E$184,"520",$CV$4:$CV$184)</f>
        <v>446412023</v>
      </c>
      <c r="CW196" s="25">
        <f t="shared" si="340"/>
        <v>0.44609679277051395</v>
      </c>
      <c r="CX196" s="24">
        <f t="shared" si="341"/>
        <v>1319780820</v>
      </c>
      <c r="CY196" s="23">
        <f>SUMIF($E$4:$E$186,"520",$CY$4:$CY$186)</f>
        <v>0</v>
      </c>
      <c r="CZ196" s="22">
        <f>SUMIF($E$4:$E$184,"520",$CZ$4:$CZ$184)</f>
        <v>0</v>
      </c>
      <c r="DA196" s="22">
        <f>SUMIF($E$4:$E$186,"520",$DA$4:$DA$186)</f>
        <v>0</v>
      </c>
      <c r="DB196" s="22">
        <f>SUMIF($E$4:$E$186,"520",$DB$4:$DB$186)</f>
        <v>10000000</v>
      </c>
      <c r="DC196" s="22">
        <f>SUMIF($E$4:$E$186,"520",$DC$4:$DC$186)</f>
        <v>72884540</v>
      </c>
      <c r="DD196" s="22">
        <f>SUMIF($E$4:$E$186,"520",$DD$4:$DD$186)</f>
        <v>181186962</v>
      </c>
      <c r="DE196" s="22">
        <f>SUMIF($E$4:$E$186,"520",$DE$4:$DE$186)</f>
        <v>377927832</v>
      </c>
      <c r="DF196" s="22">
        <f>SUMIF($E$4:$E$186,"520",$DF$4:$DF$186)</f>
        <v>0</v>
      </c>
      <c r="DG196" s="21">
        <f>SUMIF($E$4:$E$184,"520",$DG$4:$DG$184)</f>
        <v>0</v>
      </c>
      <c r="DH196" s="21">
        <f>SUMIF($E$4:$E$184,"520",$DH$4:$DH$184)</f>
        <v>0</v>
      </c>
      <c r="DI196" s="21">
        <f>SUMIF($E$4:$E$186,"520",$DI$4:$DI$186)</f>
        <v>0</v>
      </c>
      <c r="DJ196" s="21">
        <f>SUMIF($E$4:$E$184,"520",$DJ$4:$DJ$184)</f>
        <v>0</v>
      </c>
      <c r="DK196" s="21">
        <f>SUMIF($E$4:$E$184,"520",$DK$4:$DK$184)</f>
        <v>506263797</v>
      </c>
      <c r="DL196" s="21">
        <f>SUMIF($E$4:$E$186,"520",$DL$4:$DL$186)</f>
        <v>0</v>
      </c>
      <c r="DM196" s="21">
        <f>SUMIF($E$4:$E$184,"520",$DM$4:$DM$184)</f>
        <v>26185790</v>
      </c>
      <c r="DN196" s="21">
        <f>SUMIF($E$4:$E$184,"520",$DN$4:$DN$184)</f>
        <v>0</v>
      </c>
      <c r="DO196" s="21">
        <f>SUMIF($E$4:$E$184,"520",$DO$4:$DO$184)</f>
        <v>0</v>
      </c>
      <c r="DP196" s="21">
        <f>SUMIF($E$4:$E$184,"520",$DP$4:$DP$184)</f>
        <v>0</v>
      </c>
      <c r="DQ196" s="21">
        <f>SUMIF($E$4:$E$184,"520",$DQ$4:$DQ$184)</f>
        <v>0</v>
      </c>
      <c r="DR196" s="21">
        <f>SUMIF($E$4:$E$186,"520",$DR$4:$DR$186)</f>
        <v>145331899</v>
      </c>
    </row>
    <row r="197" spans="3:133" x14ac:dyDescent="0.25">
      <c r="C197" s="36"/>
      <c r="D197" s="35" t="s">
        <v>3</v>
      </c>
      <c r="E197" s="43"/>
      <c r="F197" s="42"/>
      <c r="G197" s="19">
        <f>SUM(G191:G196)</f>
        <v>30001000000</v>
      </c>
      <c r="H197" s="19">
        <f>SUM(H191:H196)</f>
        <v>9726182348</v>
      </c>
      <c r="I197" s="19">
        <f>SUM(I191:I196)</f>
        <v>12777924240</v>
      </c>
      <c r="J197" s="42"/>
      <c r="K197" s="42"/>
      <c r="L197" s="42"/>
      <c r="M197" s="39">
        <f t="shared" ref="M197:AH197" si="342">SUM(M191:M196)</f>
        <v>22504106588</v>
      </c>
      <c r="N197" s="39">
        <f t="shared" si="342"/>
        <v>0</v>
      </c>
      <c r="O197" s="37">
        <f t="shared" si="342"/>
        <v>134533656</v>
      </c>
      <c r="P197" s="37">
        <f t="shared" si="342"/>
        <v>396726534</v>
      </c>
      <c r="Q197" s="37">
        <f t="shared" si="342"/>
        <v>9862143612</v>
      </c>
      <c r="R197" s="37">
        <f t="shared" si="342"/>
        <v>92895874</v>
      </c>
      <c r="S197" s="37">
        <f t="shared" si="342"/>
        <v>2509180877</v>
      </c>
      <c r="T197" s="37">
        <f t="shared" si="342"/>
        <v>1300000000</v>
      </c>
      <c r="U197" s="37">
        <f t="shared" si="342"/>
        <v>102810569</v>
      </c>
      <c r="V197" s="37">
        <f t="shared" si="342"/>
        <v>219471348</v>
      </c>
      <c r="W197" s="37">
        <f t="shared" si="342"/>
        <v>1940856</v>
      </c>
      <c r="X197" s="37">
        <f t="shared" si="342"/>
        <v>3438802</v>
      </c>
      <c r="Y197" s="37">
        <f t="shared" si="342"/>
        <v>318664514</v>
      </c>
      <c r="Z197" s="37">
        <f t="shared" si="342"/>
        <v>4114878115</v>
      </c>
      <c r="AA197" s="37">
        <f t="shared" si="342"/>
        <v>348609139</v>
      </c>
      <c r="AB197" s="37">
        <f t="shared" si="342"/>
        <v>727437634</v>
      </c>
      <c r="AC197" s="37">
        <f t="shared" si="342"/>
        <v>879054052</v>
      </c>
      <c r="AD197" s="37">
        <f t="shared" si="342"/>
        <v>0</v>
      </c>
      <c r="AE197" s="37">
        <f t="shared" si="342"/>
        <v>80844085</v>
      </c>
      <c r="AF197" s="37">
        <f t="shared" si="342"/>
        <v>92524043</v>
      </c>
      <c r="AG197" s="37">
        <f t="shared" si="342"/>
        <v>1318952878</v>
      </c>
      <c r="AH197" s="37">
        <f t="shared" si="342"/>
        <v>0</v>
      </c>
      <c r="AI197" s="31">
        <f t="shared" si="334"/>
        <v>0.62631935375367587</v>
      </c>
      <c r="AJ197" s="39">
        <f t="shared" ref="AJ197:BD197" si="343">SUM(AJ191:AJ196)</f>
        <v>14094757495</v>
      </c>
      <c r="AK197" s="41">
        <f t="shared" si="343"/>
        <v>0</v>
      </c>
      <c r="AL197" s="41">
        <f t="shared" si="343"/>
        <v>133268976</v>
      </c>
      <c r="AM197" s="41">
        <f t="shared" si="343"/>
        <v>396726534</v>
      </c>
      <c r="AN197" s="41">
        <f t="shared" si="343"/>
        <v>4910165187</v>
      </c>
      <c r="AO197" s="41">
        <f t="shared" si="343"/>
        <v>17503290</v>
      </c>
      <c r="AP197" s="41">
        <f t="shared" si="343"/>
        <v>1959007333</v>
      </c>
      <c r="AQ197" s="41">
        <f t="shared" si="343"/>
        <v>1132695531</v>
      </c>
      <c r="AR197" s="41">
        <f t="shared" si="343"/>
        <v>102810569</v>
      </c>
      <c r="AS197" s="41">
        <f t="shared" si="343"/>
        <v>219471348</v>
      </c>
      <c r="AT197" s="41">
        <f t="shared" si="343"/>
        <v>0</v>
      </c>
      <c r="AU197" s="41">
        <f t="shared" si="343"/>
        <v>0</v>
      </c>
      <c r="AV197" s="41">
        <f t="shared" si="343"/>
        <v>40655038</v>
      </c>
      <c r="AW197" s="41">
        <f t="shared" si="343"/>
        <v>2606923243</v>
      </c>
      <c r="AX197" s="41">
        <f t="shared" si="343"/>
        <v>194824002</v>
      </c>
      <c r="AY197" s="41">
        <f t="shared" si="343"/>
        <v>395414960</v>
      </c>
      <c r="AZ197" s="41">
        <f t="shared" si="343"/>
        <v>788052183</v>
      </c>
      <c r="BA197" s="41">
        <f t="shared" si="343"/>
        <v>0</v>
      </c>
      <c r="BB197" s="41">
        <f t="shared" si="343"/>
        <v>80844085</v>
      </c>
      <c r="BC197" s="41">
        <f t="shared" si="343"/>
        <v>92524043</v>
      </c>
      <c r="BD197" s="41">
        <f t="shared" si="343"/>
        <v>1023871173</v>
      </c>
      <c r="BE197" s="16">
        <f t="shared" si="336"/>
        <v>0.37368064624632413</v>
      </c>
      <c r="BF197" s="41">
        <f t="shared" ref="BF197:BZ197" si="344">SUM(BF191:BF196)</f>
        <v>8409349093</v>
      </c>
      <c r="BG197" s="41">
        <f t="shared" si="344"/>
        <v>0</v>
      </c>
      <c r="BH197" s="41">
        <f t="shared" si="344"/>
        <v>1264680</v>
      </c>
      <c r="BI197" s="41">
        <f t="shared" si="344"/>
        <v>0</v>
      </c>
      <c r="BJ197" s="24">
        <f t="shared" si="344"/>
        <v>4951978425</v>
      </c>
      <c r="BK197" s="24">
        <f t="shared" si="344"/>
        <v>75392584</v>
      </c>
      <c r="BL197" s="24">
        <f t="shared" si="344"/>
        <v>550173544</v>
      </c>
      <c r="BM197" s="24">
        <f t="shared" si="344"/>
        <v>167304469</v>
      </c>
      <c r="BN197" s="24">
        <f t="shared" si="344"/>
        <v>0</v>
      </c>
      <c r="BO197" s="24">
        <f t="shared" si="344"/>
        <v>0</v>
      </c>
      <c r="BP197" s="24">
        <f t="shared" si="344"/>
        <v>1940856</v>
      </c>
      <c r="BQ197" s="24">
        <f t="shared" si="344"/>
        <v>3438802</v>
      </c>
      <c r="BR197" s="24">
        <f t="shared" si="344"/>
        <v>278009476</v>
      </c>
      <c r="BS197" s="24">
        <f t="shared" si="344"/>
        <v>1507954872</v>
      </c>
      <c r="BT197" s="24">
        <f t="shared" si="344"/>
        <v>153785137</v>
      </c>
      <c r="BU197" s="24">
        <f t="shared" si="344"/>
        <v>332022674</v>
      </c>
      <c r="BV197" s="24">
        <f t="shared" si="344"/>
        <v>91001869</v>
      </c>
      <c r="BW197" s="24">
        <f t="shared" si="344"/>
        <v>0</v>
      </c>
      <c r="BX197" s="24">
        <f t="shared" si="344"/>
        <v>0</v>
      </c>
      <c r="BY197" s="24">
        <f t="shared" si="344"/>
        <v>0</v>
      </c>
      <c r="BZ197" s="24">
        <f t="shared" si="344"/>
        <v>295081705</v>
      </c>
      <c r="CA197" s="28">
        <f t="shared" si="338"/>
        <v>0.43219588877997717</v>
      </c>
      <c r="CB197" s="24">
        <f t="shared" ref="CB197:CV197" si="345">SUM(CB191:CB196)</f>
        <v>9726182348</v>
      </c>
      <c r="CC197" s="24">
        <f t="shared" si="345"/>
        <v>0</v>
      </c>
      <c r="CD197" s="40">
        <f t="shared" si="345"/>
        <v>133268976</v>
      </c>
      <c r="CE197" s="40">
        <f t="shared" si="345"/>
        <v>396726534</v>
      </c>
      <c r="CF197" s="40">
        <f t="shared" si="345"/>
        <v>3932442731</v>
      </c>
      <c r="CG197" s="40">
        <f t="shared" si="345"/>
        <v>12550540</v>
      </c>
      <c r="CH197" s="39">
        <f t="shared" si="345"/>
        <v>1590860535</v>
      </c>
      <c r="CI197" s="39">
        <f t="shared" si="345"/>
        <v>753232380</v>
      </c>
      <c r="CJ197" s="39">
        <f t="shared" si="345"/>
        <v>102810569</v>
      </c>
      <c r="CK197" s="39">
        <f t="shared" si="345"/>
        <v>127534316</v>
      </c>
      <c r="CL197" s="39">
        <f t="shared" si="345"/>
        <v>0</v>
      </c>
      <c r="CM197" s="39">
        <f t="shared" si="345"/>
        <v>0</v>
      </c>
      <c r="CN197" s="39">
        <f t="shared" si="345"/>
        <v>40655038</v>
      </c>
      <c r="CO197" s="39">
        <f t="shared" si="345"/>
        <v>1208261737</v>
      </c>
      <c r="CP197" s="39">
        <f t="shared" si="345"/>
        <v>121219278</v>
      </c>
      <c r="CQ197" s="39">
        <f t="shared" si="345"/>
        <v>250447070</v>
      </c>
      <c r="CR197" s="39">
        <f t="shared" si="345"/>
        <v>392169475</v>
      </c>
      <c r="CS197" s="39">
        <f t="shared" si="345"/>
        <v>0</v>
      </c>
      <c r="CT197" s="39">
        <f t="shared" si="345"/>
        <v>25815097</v>
      </c>
      <c r="CU197" s="39">
        <f t="shared" si="345"/>
        <v>0</v>
      </c>
      <c r="CV197" s="37">
        <f t="shared" si="345"/>
        <v>638188072</v>
      </c>
      <c r="CW197" s="25">
        <f t="shared" si="340"/>
        <v>0.56780411122002283</v>
      </c>
      <c r="CX197" s="39">
        <f t="shared" ref="CX197:DR197" ca="1" si="346">SUM(CX191:CX196)</f>
        <v>12777924240</v>
      </c>
      <c r="CY197" s="38">
        <f t="shared" si="346"/>
        <v>0</v>
      </c>
      <c r="CZ197" s="37">
        <f t="shared" ca="1" si="346"/>
        <v>1264680</v>
      </c>
      <c r="DA197" s="37">
        <f t="shared" si="346"/>
        <v>0</v>
      </c>
      <c r="DB197" s="37">
        <f t="shared" si="346"/>
        <v>5929700881</v>
      </c>
      <c r="DC197" s="37">
        <f t="shared" si="346"/>
        <v>80345334</v>
      </c>
      <c r="DD197" s="24">
        <f t="shared" si="346"/>
        <v>918320342</v>
      </c>
      <c r="DE197" s="24">
        <f t="shared" si="346"/>
        <v>546767620</v>
      </c>
      <c r="DF197" s="24">
        <f t="shared" si="346"/>
        <v>0</v>
      </c>
      <c r="DG197" s="24">
        <f t="shared" si="346"/>
        <v>91937032</v>
      </c>
      <c r="DH197" s="24">
        <f t="shared" si="346"/>
        <v>1940856</v>
      </c>
      <c r="DI197" s="24">
        <f t="shared" si="346"/>
        <v>3438802</v>
      </c>
      <c r="DJ197" s="24">
        <f t="shared" si="346"/>
        <v>278009476</v>
      </c>
      <c r="DK197" s="24">
        <f t="shared" si="346"/>
        <v>2906616378</v>
      </c>
      <c r="DL197" s="24">
        <f t="shared" si="346"/>
        <v>227389861</v>
      </c>
      <c r="DM197" s="24">
        <f t="shared" si="346"/>
        <v>476990564</v>
      </c>
      <c r="DN197" s="24">
        <f t="shared" si="346"/>
        <v>486884577</v>
      </c>
      <c r="DO197" s="24">
        <f t="shared" si="346"/>
        <v>0</v>
      </c>
      <c r="DP197" s="24">
        <f t="shared" si="346"/>
        <v>55028988</v>
      </c>
      <c r="DQ197" s="24">
        <f t="shared" si="346"/>
        <v>92524043</v>
      </c>
      <c r="DR197" s="24">
        <f t="shared" si="346"/>
        <v>680764806</v>
      </c>
    </row>
    <row r="198" spans="3:133" x14ac:dyDescent="0.25">
      <c r="C198" s="36"/>
      <c r="D198" s="35" t="s">
        <v>2</v>
      </c>
      <c r="E198" s="34">
        <v>301</v>
      </c>
      <c r="F198" s="32"/>
      <c r="G198" s="19">
        <f>SUMIF($E$4:$E$186,"301",$G$4:$G$186)</f>
        <v>1952000000</v>
      </c>
      <c r="H198" s="19">
        <f>SUMIF($E$4:$E$186,"301",$H$4:$H$186)</f>
        <v>1889977571</v>
      </c>
      <c r="I198" s="19">
        <f>SUMIF($E$4:$E$186,"301",$I$4:$I$186)</f>
        <v>623509315</v>
      </c>
      <c r="J198" s="32" t="s">
        <v>1</v>
      </c>
      <c r="K198" s="32"/>
      <c r="L198" s="32"/>
      <c r="M198" s="27">
        <f>SUMIF($E$4:$E$186,"301",$M$4:$M$186)</f>
        <v>2513486886</v>
      </c>
      <c r="N198" s="27">
        <f>SUMIF($E$4:$E$186,"301",$N$4:$N$186)</f>
        <v>104079469</v>
      </c>
      <c r="O198" s="33">
        <f>SUMIF($E$4:$E$184,"301",$O$4:$O$184)</f>
        <v>0</v>
      </c>
      <c r="P198" s="33">
        <f>SUMIF($E$4:$E$187,"301",$P$4:$P$187)</f>
        <v>0</v>
      </c>
      <c r="Q198" s="33">
        <f>SUMIF($E$4:$E$186,"301",$Q$4:$Q$186)</f>
        <v>0</v>
      </c>
      <c r="R198" s="27">
        <f>SUMIF($E$4:$E$186,"301",$R$4:$R$186)</f>
        <v>0</v>
      </c>
      <c r="S198" s="32">
        <f>SUMIF($E$4:$E$184,"301",$S$4:$S$184)</f>
        <v>0</v>
      </c>
      <c r="T198" s="32">
        <f>SUMIF($E$4:$E$184,"301",$T$4:$T$184)</f>
        <v>0</v>
      </c>
      <c r="U198" s="32">
        <f>SUMIF($E$4:$E$184,"301",$U$4:$U$184)</f>
        <v>0</v>
      </c>
      <c r="V198" s="32">
        <f>SUMIF($E$4:$E$184,"301",$V$4:$V$184)</f>
        <v>0</v>
      </c>
      <c r="W198" s="32">
        <f>SUMIF($E$4:$E$184,"301",$W$4:$W$184)</f>
        <v>0</v>
      </c>
      <c r="X198" s="32">
        <f>SUMIF($E$4:$E$184,"301",$X$4:$X$184)</f>
        <v>0</v>
      </c>
      <c r="Y198" s="32">
        <f>SUMIF($E$4:$E$184,"301",$Y$4:$Y$184)</f>
        <v>0</v>
      </c>
      <c r="Z198" s="32">
        <f>SUMIF($E$4:$E$184,"301",$Z$4:$Z$184)</f>
        <v>0</v>
      </c>
      <c r="AA198" s="32">
        <f>SUMIF($E$4:$E$184,"301",$AA$4:$AA$184)</f>
        <v>728406867</v>
      </c>
      <c r="AB198" s="32">
        <f>SUMIF($E$4:$E$184,"301",$AB$4:$AB$184)</f>
        <v>346819196</v>
      </c>
      <c r="AC198" s="32">
        <f>SUMIF($E$4:$E$184,"301",$AC$4:$AC$184)</f>
        <v>84573365</v>
      </c>
      <c r="AD198" s="32">
        <f>SUMIF($E$4:$E$155,"301",$AD$4:$AD$155)</f>
        <v>1181607989</v>
      </c>
      <c r="AE198" s="32">
        <f>SUMIF($E$4:$E$155,"301",$AE$4:$AE$155)</f>
        <v>0</v>
      </c>
      <c r="AF198" s="32">
        <f>SUMIF($E$4:$E$184,"301",$AF$4:$AF$184)</f>
        <v>0</v>
      </c>
      <c r="AG198" s="32">
        <f>SUMIF($E$4:$E$186,"301",$AG$4:$AG$186)</f>
        <v>68000000</v>
      </c>
      <c r="AI198" s="31">
        <f t="shared" si="334"/>
        <v>0.96501378125750048</v>
      </c>
      <c r="AJ198" s="30">
        <f>SUM(AK198:BD198)</f>
        <v>2425549484</v>
      </c>
      <c r="AK198" s="27">
        <f>SUMIF($E$4:$E$184,"301",$AK$4:$AK$184)</f>
        <v>103688299</v>
      </c>
      <c r="AL198" s="27">
        <f>SUMIF($E$4:$E$186,"301",$AL$4:$AL$186)</f>
        <v>0</v>
      </c>
      <c r="AM198" s="27">
        <f>SUMIF($E$4:$E$186,"301",$AM$4:$AM$186)</f>
        <v>0</v>
      </c>
      <c r="AN198" s="27">
        <f>SUMIF($E$4:$E$186,"301",$AN$4:$AN$186)</f>
        <v>0</v>
      </c>
      <c r="AO198" s="27">
        <f>SUMIF($E$4:$E$184,"301",$AO$4:$AO$184)</f>
        <v>0</v>
      </c>
      <c r="AP198" s="27">
        <f>SUMIF($E$4:$E$184,"301",$AP$4:$AP$184)</f>
        <v>0</v>
      </c>
      <c r="AQ198" s="27">
        <f>SUMIF($E$4:$E$186,"301",$AQ$4:$AQ$186)</f>
        <v>0</v>
      </c>
      <c r="AR198" s="27">
        <f>SUMIF($E$4:$E$186,"301",$AR$4:$AR$186)</f>
        <v>0</v>
      </c>
      <c r="AS198" s="27">
        <f>SUMIF($E$4:$E$184,"301",$AS$4:$AS$184)</f>
        <v>0</v>
      </c>
      <c r="AT198" s="27">
        <f>SUMIF($E$4:$E$184,"301",$AT$4:$AT$184)</f>
        <v>0</v>
      </c>
      <c r="AU198" s="27">
        <f>SUMIF($E$4:$E$155,"301",$AU$4:$AU$155)</f>
        <v>0</v>
      </c>
      <c r="AV198" s="27">
        <f>SUMIF($E$4:$E$184,"301",$AV$4:$AV$184)</f>
        <v>0</v>
      </c>
      <c r="AW198" s="27">
        <f>SUMIF($E$4:$E$184,"301",$AW$4:$AW$184)</f>
        <v>0</v>
      </c>
      <c r="AX198" s="27">
        <f>SUMIF($E$4:$E$184,"301",$AX$4:$AX$184)</f>
        <v>709199167</v>
      </c>
      <c r="AY198" s="27">
        <f>SUMIF($E$4:$E$186,"301",$AY$4:$AY$186)</f>
        <v>346819196</v>
      </c>
      <c r="AZ198" s="27">
        <f>SUMIF($E$4:$E$184,"301",$AZ$4:$AZ$184)</f>
        <v>47034833</v>
      </c>
      <c r="BA198" s="27">
        <f>SUMIF($E$4:$E$184,"301",$BA$4:$BA$184)</f>
        <v>1157607989</v>
      </c>
      <c r="BB198" s="27">
        <f>SUMIF($E$4:$E$184,"301",$BB$4:$BB$184)</f>
        <v>0</v>
      </c>
      <c r="BC198" s="27">
        <f>SUMIF($E$4:$E$184,"301",$BC$4:$BC$184)</f>
        <v>0</v>
      </c>
      <c r="BD198" s="27">
        <f>SUMIF($E$4:$E$184,"301",$BD$4:$BD$184)</f>
        <v>61200000</v>
      </c>
      <c r="BE198" s="16">
        <f t="shared" si="336"/>
        <v>3.498621874249952E-2</v>
      </c>
      <c r="BF198" s="24">
        <f>SUM(BG198:BZ198)</f>
        <v>87937402</v>
      </c>
      <c r="BG198" s="22">
        <f>SUMIF($E$4:$E$184,"301",$BG$4:$BG$184)</f>
        <v>391170</v>
      </c>
      <c r="BH198" s="22">
        <f>SUMIF($E$4:$E$184,"301",$BH$4:$BH$184)</f>
        <v>0</v>
      </c>
      <c r="BI198" s="22">
        <f>SUMIF($E$4:$E$184,"301",$BI$4:$BI$184)</f>
        <v>0</v>
      </c>
      <c r="BJ198" s="22">
        <f>SUMIF($E$4:$E$186,"301",$BJ$4:$BJ$186)</f>
        <v>0</v>
      </c>
      <c r="BK198" s="22">
        <f>SUMIF($E$4:$E$186,"301",$BK$4:$BK$186)</f>
        <v>0</v>
      </c>
      <c r="BL198" s="22">
        <f>SUMIF($E$4:$E$184,"301",$BL$4:$BL$184)</f>
        <v>0</v>
      </c>
      <c r="BM198" s="22">
        <f>SUMIF($E$4:$E$184,"301",$BM$4:$BM$184)</f>
        <v>0</v>
      </c>
      <c r="BN198" s="22">
        <f>SUMIF($E$4:$E$184,"301",$BN$4:$BN$184)</f>
        <v>0</v>
      </c>
      <c r="BO198" s="22">
        <f>SUMIF($E$4:$E$184,"301",$BO$4:$BO$184)</f>
        <v>0</v>
      </c>
      <c r="BP198" s="22">
        <f>SUMIF($E$4:$E$184,"301",$BP$4:$BP$184)</f>
        <v>0</v>
      </c>
      <c r="BQ198" s="22">
        <f>SUMIF($E$4:$E$184,"301",$BQ$4:$BQ$184)</f>
        <v>0</v>
      </c>
      <c r="BR198" s="22">
        <f>SUMIF($E$4:$E$184,"301",$BR$4:$BR$184)</f>
        <v>0</v>
      </c>
      <c r="BS198" s="22">
        <f>SUMIF($E$4:$E$184,"301",$BS$4:$BS$184)</f>
        <v>0</v>
      </c>
      <c r="BT198" s="22">
        <f>SUMIF($E$4:$E$184,"301",$BT$4:$BT$184)</f>
        <v>19207700</v>
      </c>
      <c r="BU198" s="22">
        <f>SUMIF($E$4:$E$184,"301",$BU$4:$BU$184)</f>
        <v>0</v>
      </c>
      <c r="BV198" s="22">
        <f>SUMIF($E$4:$E$184,"301",$BV$4:$BV$184)</f>
        <v>37538532</v>
      </c>
      <c r="BW198" s="22">
        <f>SUMIF($E$4:$E$184,"301",$BW$4:$BW$184)</f>
        <v>24000000</v>
      </c>
      <c r="BX198" s="22">
        <f>SUMIF($E$4:$E$184,"301",$BX$4:$BX$184)</f>
        <v>0</v>
      </c>
      <c r="BY198" s="22"/>
      <c r="BZ198" s="29">
        <f>SUMIF($E$4:$E$186,"301",$BZ$4:$BZ$186)</f>
        <v>6800000</v>
      </c>
      <c r="CA198" s="28">
        <f t="shared" si="338"/>
        <v>0.75193452630570046</v>
      </c>
      <c r="CB198" s="24">
        <f>SUM(CC198:CV198)</f>
        <v>1889977571</v>
      </c>
      <c r="CC198" s="27">
        <f>SUMIF($E$4:$E$186,"301",$CC$4:$CC$186)</f>
        <v>44765799</v>
      </c>
      <c r="CD198" s="27">
        <f>SUMIF($E$4:$E$184,"301",$CD$4:$CD$184)</f>
        <v>0</v>
      </c>
      <c r="CE198" s="27">
        <f>SUMIF($E$4:$E$184,"301",$CE$4:$CE$184)</f>
        <v>0</v>
      </c>
      <c r="CF198" s="27">
        <f>SUMIF($E$4:$E$184,"301",$CF$4:$CF$184)</f>
        <v>0</v>
      </c>
      <c r="CG198" s="27">
        <f>SUMIF($E$4:$E$186,"301",$CG$4:$CG$186)</f>
        <v>0</v>
      </c>
      <c r="CH198" s="27">
        <f>SUMIF($E$4:$E$184,"301",$CH$4:$CH$184)</f>
        <v>0</v>
      </c>
      <c r="CI198" s="27">
        <f>SUMIF($E$4:$E$184,"301",$CI$4:$CI$184)</f>
        <v>0</v>
      </c>
      <c r="CJ198" s="27">
        <f>SUMIF($E$4:$E$186,"301",$CJ$4:$CJ$186)</f>
        <v>0</v>
      </c>
      <c r="CK198" s="27">
        <f>SUMIF($E$4:$E$184,"301",$CK$4:$CK$184)</f>
        <v>0</v>
      </c>
      <c r="CL198" s="27">
        <f>SUMIF($E$4:$E$184,"301",$CL$4:$CL$184)</f>
        <v>0</v>
      </c>
      <c r="CM198" s="27">
        <f>SUMIF($E$4:$E$184,"301",$CM$4:$CM$184)</f>
        <v>0</v>
      </c>
      <c r="CN198" s="27">
        <f>SUMIF($E$4:$E$184,"301",$CN$4:$CN$184)</f>
        <v>0</v>
      </c>
      <c r="CO198" s="27">
        <f>SUMIF($E$4:$E$184,"301",$CO$4:$CO$184)</f>
        <v>0</v>
      </c>
      <c r="CP198" s="27">
        <f>SUMIF($E$4:$E$186,"301",$CP$4:$CP$186)</f>
        <v>436355867</v>
      </c>
      <c r="CQ198" s="27">
        <f>SUMIF($E$4:$E$184,"301",$CQ$4:$CQ$184)</f>
        <v>324798808</v>
      </c>
      <c r="CR198" s="27">
        <f>SUMIF($E$4:$E$184,"301",$CR$4:$CR$184)</f>
        <v>38290498</v>
      </c>
      <c r="CS198" s="27">
        <f>SUMIF($E$4:$E$184,"301",$CS$4:$CS$184)</f>
        <v>1016162182</v>
      </c>
      <c r="CT198" s="27">
        <f>SUMIF($E$4:$E$184,"301",$CT$4:$CT$184)</f>
        <v>0</v>
      </c>
      <c r="CU198" s="27">
        <f>SUMIF($E$4:$E$184,"301",$CU$4:$CU$184)</f>
        <v>0</v>
      </c>
      <c r="CV198" s="26">
        <f>SUMIF($E$4:$E$184,"301",$CV$4:$CV$184)</f>
        <v>29604417</v>
      </c>
      <c r="CW198" s="25">
        <f t="shared" si="340"/>
        <v>0.24806547369429954</v>
      </c>
      <c r="CX198" s="24">
        <f>SUM(CY198:DR198)</f>
        <v>623509315</v>
      </c>
      <c r="CY198" s="23">
        <f>SUMIF($E$4:$E$186,"301",$CY$4:$CY$186)</f>
        <v>59313670</v>
      </c>
      <c r="CZ198" s="22">
        <f>SUMIF($E$4:$E$184,"301",$CZ$4:$CZ$184)</f>
        <v>0</v>
      </c>
      <c r="DA198" s="22">
        <f>SUMIF($E$4:$E$186,"301",$DA$4:$DA$186)</f>
        <v>0</v>
      </c>
      <c r="DB198" s="22">
        <f>SUMIF($E$4:$E$184,"301",$DB$4:$DB$184)</f>
        <v>0</v>
      </c>
      <c r="DC198" s="22">
        <f>SUMIF($E$4:$E$186,"301",$DC$4:$DC$186)</f>
        <v>0</v>
      </c>
      <c r="DD198" s="22">
        <f>SUMIF($E$4:$E$186,"301",$DD$4:$DD$186)</f>
        <v>0</v>
      </c>
      <c r="DE198" s="22">
        <f>SUMIF($E$4:$E$184,"301",$DE$4:$DE$184)</f>
        <v>0</v>
      </c>
      <c r="DF198" s="22">
        <f>SUMIF($E$4:$E$186,"301",$DF$4:$DF$186)</f>
        <v>0</v>
      </c>
      <c r="DG198" s="21">
        <f>SUMIF($E$4:$E$184,"301",$DG$4:$DG$184)</f>
        <v>0</v>
      </c>
      <c r="DH198" s="21">
        <f>SUMIF($E$4:$E$184,"301",$DH$4:$DH$184)</f>
        <v>0</v>
      </c>
      <c r="DI198" s="21">
        <f>SUMIF($E$4:$E$186,"301",$DI$4:$DI$186)</f>
        <v>0</v>
      </c>
      <c r="DJ198" s="21">
        <f>SUMIF($E$4:$E$184,"301",$DJ$4:$DJ$184)</f>
        <v>0</v>
      </c>
      <c r="DK198" s="21">
        <f>SUMIF($E$4:$E$184,"301",$DK$4:$DK$184)</f>
        <v>0</v>
      </c>
      <c r="DL198" s="21">
        <f>SUMIF($E$4:$E$186,"301",$DL$4:$DL$186)</f>
        <v>292051000</v>
      </c>
      <c r="DM198" s="21">
        <f>SUMIF($E$4:$E$184,"301",$DM$4:$DM$184)</f>
        <v>22020388</v>
      </c>
      <c r="DN198" s="21">
        <f>SUMIF($E$4:$E$184,"301",$DN$4:$DN$184)</f>
        <v>46282867</v>
      </c>
      <c r="DO198" s="21">
        <f>SUMIF($E$4:$E$184,"301",$DO$4:$DO$184)</f>
        <v>165445807</v>
      </c>
      <c r="DP198" s="21">
        <f>SUMIF($E$4:$E$184,"301",$DP$4:$DP$184)</f>
        <v>0</v>
      </c>
      <c r="DQ198" s="21">
        <f>SUMIF($E$4:$E$184,"301",$DQ$4:$DQ$184)</f>
        <v>0</v>
      </c>
      <c r="DR198" s="21">
        <f>SUMIF($E$4:$E$186,"301",$DR$4:$DR$186)</f>
        <v>38395583</v>
      </c>
    </row>
    <row r="199" spans="3:133" ht="15.75" thickBot="1" x14ac:dyDescent="0.3">
      <c r="C199" s="274" t="s">
        <v>0</v>
      </c>
      <c r="D199" s="275"/>
      <c r="E199" s="20"/>
      <c r="F199" s="18"/>
      <c r="G199" s="19">
        <f>SUM(G197:G198)</f>
        <v>31953000000</v>
      </c>
      <c r="H199" s="19">
        <f>SUM(H197:H198)</f>
        <v>11616159919</v>
      </c>
      <c r="I199" s="19">
        <f>SUM(I197:I198)</f>
        <v>13401433555</v>
      </c>
      <c r="J199" s="18"/>
      <c r="K199" s="18"/>
      <c r="L199" s="18"/>
      <c r="M199" s="8">
        <f t="shared" ref="M199:AH199" si="347">SUM(M197:M198)</f>
        <v>25017593474</v>
      </c>
      <c r="N199" s="8">
        <f t="shared" si="347"/>
        <v>104079469</v>
      </c>
      <c r="O199" s="8">
        <f t="shared" si="347"/>
        <v>134533656</v>
      </c>
      <c r="P199" s="8">
        <f t="shared" si="347"/>
        <v>396726534</v>
      </c>
      <c r="Q199" s="8">
        <f t="shared" si="347"/>
        <v>9862143612</v>
      </c>
      <c r="R199" s="8">
        <f t="shared" si="347"/>
        <v>92895874</v>
      </c>
      <c r="S199" s="8">
        <f t="shared" si="347"/>
        <v>2509180877</v>
      </c>
      <c r="T199" s="8">
        <f t="shared" si="347"/>
        <v>1300000000</v>
      </c>
      <c r="U199" s="8">
        <f t="shared" si="347"/>
        <v>102810569</v>
      </c>
      <c r="V199" s="8">
        <f t="shared" si="347"/>
        <v>219471348</v>
      </c>
      <c r="W199" s="8">
        <f t="shared" si="347"/>
        <v>1940856</v>
      </c>
      <c r="X199" s="8">
        <f t="shared" si="347"/>
        <v>3438802</v>
      </c>
      <c r="Y199" s="8">
        <f t="shared" si="347"/>
        <v>318664514</v>
      </c>
      <c r="Z199" s="8">
        <f t="shared" si="347"/>
        <v>4114878115</v>
      </c>
      <c r="AA199" s="8">
        <f t="shared" si="347"/>
        <v>1077016006</v>
      </c>
      <c r="AB199" s="8">
        <f t="shared" si="347"/>
        <v>1074256830</v>
      </c>
      <c r="AC199" s="8">
        <f t="shared" si="347"/>
        <v>963627417</v>
      </c>
      <c r="AD199" s="8">
        <f t="shared" si="347"/>
        <v>1181607989</v>
      </c>
      <c r="AE199" s="8">
        <f t="shared" si="347"/>
        <v>80844085</v>
      </c>
      <c r="AF199" s="8">
        <f t="shared" si="347"/>
        <v>92524043</v>
      </c>
      <c r="AG199" s="8">
        <f t="shared" si="347"/>
        <v>1386952878</v>
      </c>
      <c r="AH199" s="8">
        <f t="shared" si="347"/>
        <v>0</v>
      </c>
      <c r="AI199" s="17">
        <f t="shared" si="334"/>
        <v>0.66034756685006646</v>
      </c>
      <c r="AJ199" s="15">
        <f t="shared" ref="AJ199:BD199" si="348">AJ197+AJ198</f>
        <v>16520306979</v>
      </c>
      <c r="AK199" s="15">
        <f t="shared" si="348"/>
        <v>103688299</v>
      </c>
      <c r="AL199" s="15">
        <f t="shared" si="348"/>
        <v>133268976</v>
      </c>
      <c r="AM199" s="15">
        <f t="shared" si="348"/>
        <v>396726534</v>
      </c>
      <c r="AN199" s="15">
        <f t="shared" si="348"/>
        <v>4910165187</v>
      </c>
      <c r="AO199" s="15">
        <f t="shared" si="348"/>
        <v>17503290</v>
      </c>
      <c r="AP199" s="15">
        <f t="shared" si="348"/>
        <v>1959007333</v>
      </c>
      <c r="AQ199" s="15">
        <f t="shared" si="348"/>
        <v>1132695531</v>
      </c>
      <c r="AR199" s="15">
        <f t="shared" si="348"/>
        <v>102810569</v>
      </c>
      <c r="AS199" s="15">
        <f t="shared" si="348"/>
        <v>219471348</v>
      </c>
      <c r="AT199" s="15">
        <f t="shared" si="348"/>
        <v>0</v>
      </c>
      <c r="AU199" s="15">
        <f t="shared" si="348"/>
        <v>0</v>
      </c>
      <c r="AV199" s="15">
        <f t="shared" si="348"/>
        <v>40655038</v>
      </c>
      <c r="AW199" s="15">
        <f t="shared" si="348"/>
        <v>2606923243</v>
      </c>
      <c r="AX199" s="15">
        <f t="shared" si="348"/>
        <v>904023169</v>
      </c>
      <c r="AY199" s="15">
        <f t="shared" si="348"/>
        <v>742234156</v>
      </c>
      <c r="AZ199" s="15">
        <f t="shared" si="348"/>
        <v>835087016</v>
      </c>
      <c r="BA199" s="15">
        <f t="shared" si="348"/>
        <v>1157607989</v>
      </c>
      <c r="BB199" s="15">
        <f t="shared" si="348"/>
        <v>80844085</v>
      </c>
      <c r="BC199" s="15">
        <f t="shared" si="348"/>
        <v>92524043</v>
      </c>
      <c r="BD199" s="15">
        <f t="shared" si="348"/>
        <v>1085071173</v>
      </c>
      <c r="BE199" s="171">
        <f t="shared" si="336"/>
        <v>0.33965243314993354</v>
      </c>
      <c r="BF199" s="15">
        <f>BF197+BF198</f>
        <v>8497286495</v>
      </c>
      <c r="BG199" s="15">
        <f>BG197+BG198</f>
        <v>391170</v>
      </c>
      <c r="BH199" s="15">
        <f>BH197+BH198</f>
        <v>1264680</v>
      </c>
      <c r="BI199" s="15">
        <f>BI197+BI198</f>
        <v>0</v>
      </c>
      <c r="BJ199" s="12">
        <f t="shared" ref="BJ199:BZ199" si="349">+BJ197+BJ198</f>
        <v>4951978425</v>
      </c>
      <c r="BK199" s="12">
        <f t="shared" si="349"/>
        <v>75392584</v>
      </c>
      <c r="BL199" s="12">
        <f t="shared" si="349"/>
        <v>550173544</v>
      </c>
      <c r="BM199" s="12">
        <f t="shared" si="349"/>
        <v>167304469</v>
      </c>
      <c r="BN199" s="12">
        <f t="shared" si="349"/>
        <v>0</v>
      </c>
      <c r="BO199" s="12">
        <f t="shared" si="349"/>
        <v>0</v>
      </c>
      <c r="BP199" s="12">
        <f t="shared" si="349"/>
        <v>1940856</v>
      </c>
      <c r="BQ199" s="12">
        <f t="shared" si="349"/>
        <v>3438802</v>
      </c>
      <c r="BR199" s="12">
        <f t="shared" si="349"/>
        <v>278009476</v>
      </c>
      <c r="BS199" s="12">
        <f t="shared" si="349"/>
        <v>1507954872</v>
      </c>
      <c r="BT199" s="12">
        <f t="shared" si="349"/>
        <v>172992837</v>
      </c>
      <c r="BU199" s="12">
        <f t="shared" si="349"/>
        <v>332022674</v>
      </c>
      <c r="BV199" s="12">
        <f t="shared" si="349"/>
        <v>128540401</v>
      </c>
      <c r="BW199" s="12">
        <f t="shared" si="349"/>
        <v>24000000</v>
      </c>
      <c r="BX199" s="12">
        <f t="shared" si="349"/>
        <v>0</v>
      </c>
      <c r="BY199" s="12">
        <f t="shared" si="349"/>
        <v>0</v>
      </c>
      <c r="BZ199" s="12">
        <f t="shared" si="349"/>
        <v>301881705</v>
      </c>
      <c r="CA199" s="14">
        <f t="shared" si="338"/>
        <v>0.46431963694159117</v>
      </c>
      <c r="CB199" s="13">
        <f t="shared" ref="CB199:CG199" si="350">+CB197+CB198</f>
        <v>11616159919</v>
      </c>
      <c r="CC199" s="12">
        <f t="shared" si="350"/>
        <v>44765799</v>
      </c>
      <c r="CD199" s="12">
        <f t="shared" si="350"/>
        <v>133268976</v>
      </c>
      <c r="CE199" s="12">
        <f t="shared" si="350"/>
        <v>396726534</v>
      </c>
      <c r="CF199" s="12">
        <f t="shared" si="350"/>
        <v>3932442731</v>
      </c>
      <c r="CG199" s="12">
        <f t="shared" si="350"/>
        <v>12550540</v>
      </c>
      <c r="CH199" s="8">
        <f t="shared" ref="CH199:CV199" si="351">SUM(CH197:CH198)</f>
        <v>1590860535</v>
      </c>
      <c r="CI199" s="8">
        <f t="shared" si="351"/>
        <v>753232380</v>
      </c>
      <c r="CJ199" s="8">
        <f t="shared" si="351"/>
        <v>102810569</v>
      </c>
      <c r="CK199" s="8">
        <f t="shared" si="351"/>
        <v>127534316</v>
      </c>
      <c r="CL199" s="8">
        <f t="shared" si="351"/>
        <v>0</v>
      </c>
      <c r="CM199" s="8">
        <f t="shared" si="351"/>
        <v>0</v>
      </c>
      <c r="CN199" s="8">
        <f t="shared" si="351"/>
        <v>40655038</v>
      </c>
      <c r="CO199" s="8">
        <f t="shared" si="351"/>
        <v>1208261737</v>
      </c>
      <c r="CP199" s="8">
        <f t="shared" si="351"/>
        <v>557575145</v>
      </c>
      <c r="CQ199" s="8">
        <f t="shared" si="351"/>
        <v>575245878</v>
      </c>
      <c r="CR199" s="8">
        <f t="shared" si="351"/>
        <v>430459973</v>
      </c>
      <c r="CS199" s="8">
        <f t="shared" si="351"/>
        <v>1016162182</v>
      </c>
      <c r="CT199" s="8">
        <f t="shared" si="351"/>
        <v>25815097</v>
      </c>
      <c r="CU199" s="8">
        <f t="shared" si="351"/>
        <v>0</v>
      </c>
      <c r="CV199" s="9">
        <f t="shared" si="351"/>
        <v>667792489</v>
      </c>
      <c r="CW199" s="11">
        <f t="shared" si="340"/>
        <v>0.53568036305840883</v>
      </c>
      <c r="CX199" s="8">
        <f t="shared" ref="CX199:DR199" ca="1" si="352">SUM(CX197:CX198)</f>
        <v>13401433555</v>
      </c>
      <c r="CY199" s="10">
        <f t="shared" si="352"/>
        <v>59313670</v>
      </c>
      <c r="CZ199" s="9">
        <f t="shared" ca="1" si="352"/>
        <v>1264680</v>
      </c>
      <c r="DA199" s="9">
        <f t="shared" si="352"/>
        <v>0</v>
      </c>
      <c r="DB199" s="9">
        <f t="shared" si="352"/>
        <v>5929700881</v>
      </c>
      <c r="DC199" s="9">
        <f t="shared" si="352"/>
        <v>80345334</v>
      </c>
      <c r="DD199" s="8">
        <f t="shared" si="352"/>
        <v>918320342</v>
      </c>
      <c r="DE199" s="8">
        <f t="shared" si="352"/>
        <v>546767620</v>
      </c>
      <c r="DF199" s="8">
        <f t="shared" si="352"/>
        <v>0</v>
      </c>
      <c r="DG199" s="7">
        <f t="shared" si="352"/>
        <v>91937032</v>
      </c>
      <c r="DH199" s="7">
        <f t="shared" si="352"/>
        <v>1940856</v>
      </c>
      <c r="DI199" s="7">
        <f t="shared" si="352"/>
        <v>3438802</v>
      </c>
      <c r="DJ199" s="7">
        <f t="shared" si="352"/>
        <v>278009476</v>
      </c>
      <c r="DK199" s="7">
        <f t="shared" si="352"/>
        <v>2906616378</v>
      </c>
      <c r="DL199" s="7">
        <f t="shared" si="352"/>
        <v>519440861</v>
      </c>
      <c r="DM199" s="7">
        <f t="shared" si="352"/>
        <v>499010952</v>
      </c>
      <c r="DN199" s="7">
        <f t="shared" si="352"/>
        <v>533167444</v>
      </c>
      <c r="DO199" s="7">
        <f t="shared" si="352"/>
        <v>165445807</v>
      </c>
      <c r="DP199" s="7">
        <f t="shared" si="352"/>
        <v>55028988</v>
      </c>
      <c r="DQ199" s="7">
        <f t="shared" si="352"/>
        <v>92524043</v>
      </c>
      <c r="DR199" s="7">
        <f t="shared" si="352"/>
        <v>719160389</v>
      </c>
    </row>
    <row r="200" spans="3:133" ht="15.75" thickTop="1" x14ac:dyDescent="0.25">
      <c r="D200" s="3"/>
      <c r="M200" s="2"/>
      <c r="N200" s="1"/>
      <c r="O200" s="1"/>
      <c r="P200" s="1"/>
      <c r="Q200" s="1"/>
      <c r="R200" s="1"/>
      <c r="S200" s="4"/>
      <c r="AC200" s="1"/>
      <c r="AF200" s="1"/>
      <c r="AG200" s="1"/>
      <c r="AJ200" s="1"/>
      <c r="AK200" s="1"/>
      <c r="AL200" s="1"/>
      <c r="AM200" s="1"/>
      <c r="CB200" s="1"/>
      <c r="CC200" s="1"/>
      <c r="CV200" s="1"/>
      <c r="CX200" s="1"/>
      <c r="CY200" s="1"/>
      <c r="DT200" s="281" t="s">
        <v>566</v>
      </c>
      <c r="DU200" s="282">
        <v>1902108763</v>
      </c>
      <c r="DV200" s="282">
        <v>788223117</v>
      </c>
      <c r="DW200" s="283">
        <v>0.58560565392863395</v>
      </c>
      <c r="EC200" s="2"/>
    </row>
    <row r="201" spans="3:133" x14ac:dyDescent="0.25">
      <c r="D201" s="3"/>
      <c r="F201" s="2"/>
      <c r="M201" s="2"/>
      <c r="N201" s="1"/>
      <c r="O201" s="1"/>
      <c r="P201" s="1"/>
      <c r="Q201" s="1"/>
      <c r="R201" s="1"/>
      <c r="AG201" s="1"/>
      <c r="AJ201" s="1"/>
      <c r="CV201" s="1"/>
      <c r="CX201" s="1"/>
      <c r="CY201" s="1"/>
      <c r="DT201" s="281" t="s">
        <v>567</v>
      </c>
      <c r="DU201" s="282">
        <v>6482517969</v>
      </c>
      <c r="DV201" s="282">
        <v>3115857051</v>
      </c>
      <c r="DW201" s="283">
        <v>0.51934463338160941</v>
      </c>
      <c r="EC201" s="2"/>
    </row>
    <row r="202" spans="3:133" x14ac:dyDescent="0.25">
      <c r="D202" s="3"/>
      <c r="F202" s="2"/>
      <c r="M202" s="2"/>
      <c r="O202" s="1"/>
      <c r="AB202" s="1"/>
      <c r="AJ202" s="1"/>
      <c r="DT202" s="281" t="s">
        <v>568</v>
      </c>
      <c r="DU202" s="282">
        <v>2958507753</v>
      </c>
      <c r="DV202" s="282">
        <v>1638726933</v>
      </c>
      <c r="DW202" s="283">
        <v>0.44609679277051395</v>
      </c>
      <c r="EC202" s="2"/>
    </row>
    <row r="203" spans="3:133" x14ac:dyDescent="0.25">
      <c r="D203" s="3"/>
      <c r="F203" s="2"/>
      <c r="M203" s="2"/>
      <c r="AB203" s="1"/>
      <c r="AJ203" s="1"/>
      <c r="CB203" s="1"/>
      <c r="DT203" s="281" t="s">
        <v>569</v>
      </c>
      <c r="DU203" s="282">
        <v>2513486886</v>
      </c>
      <c r="DV203" s="282">
        <v>1889977571</v>
      </c>
      <c r="DW203" s="283">
        <v>0.24806547369429954</v>
      </c>
      <c r="EC203" s="2"/>
    </row>
    <row r="204" spans="3:133" x14ac:dyDescent="0.25">
      <c r="D204" s="3"/>
      <c r="F204" s="2"/>
      <c r="M204" s="2"/>
      <c r="O204" s="1"/>
      <c r="Q204" s="1"/>
      <c r="DT204" s="281" t="s">
        <v>570</v>
      </c>
      <c r="DU204" s="282">
        <v>11160972103</v>
      </c>
      <c r="DV204" s="282">
        <v>4183375247</v>
      </c>
      <c r="DW204" s="283">
        <v>0.62517823641226244</v>
      </c>
      <c r="EC204" s="2"/>
    </row>
    <row r="205" spans="3:133" x14ac:dyDescent="0.25">
      <c r="D205" s="3"/>
      <c r="F205" s="2"/>
      <c r="M205" s="2"/>
      <c r="Q205" s="1"/>
      <c r="DT205" s="284"/>
      <c r="DU205" s="284"/>
      <c r="DV205" s="284"/>
      <c r="DW205" s="284"/>
    </row>
    <row r="206" spans="3:133" x14ac:dyDescent="0.25">
      <c r="O206" s="1"/>
      <c r="DT206" s="284" t="s">
        <v>9</v>
      </c>
      <c r="DU206" s="285">
        <v>6430982529</v>
      </c>
      <c r="DV206" s="282">
        <v>1897722132</v>
      </c>
      <c r="DW206" s="284"/>
    </row>
    <row r="207" spans="3:133" x14ac:dyDescent="0.25">
      <c r="DT207" s="284" t="s">
        <v>8</v>
      </c>
      <c r="DU207" s="285">
        <v>3897145153</v>
      </c>
      <c r="DV207" s="282">
        <v>1788793331</v>
      </c>
      <c r="DW207" s="284"/>
    </row>
    <row r="208" spans="3:133" x14ac:dyDescent="0.25">
      <c r="DT208" s="284" t="s">
        <v>7</v>
      </c>
      <c r="DU208" s="285">
        <v>1304253184</v>
      </c>
      <c r="DV208" s="282">
        <v>565520784</v>
      </c>
      <c r="DW208" s="284"/>
    </row>
    <row r="209" spans="124:127" x14ac:dyDescent="0.25">
      <c r="DT209" s="284" t="s">
        <v>6</v>
      </c>
      <c r="DU209" s="285">
        <v>6482517969</v>
      </c>
      <c r="DV209" s="282">
        <v>3115857051</v>
      </c>
      <c r="DW209" s="284"/>
    </row>
    <row r="210" spans="124:127" x14ac:dyDescent="0.25">
      <c r="DT210" s="284" t="s">
        <v>5</v>
      </c>
      <c r="DU210" s="285">
        <v>1430700000</v>
      </c>
      <c r="DV210" s="282">
        <v>719562117</v>
      </c>
      <c r="DW210" s="284"/>
    </row>
    <row r="211" spans="124:127" x14ac:dyDescent="0.25">
      <c r="DT211" s="284" t="s">
        <v>4</v>
      </c>
      <c r="DU211" s="285">
        <v>2958507753</v>
      </c>
      <c r="DV211" s="282">
        <v>1638726933</v>
      </c>
      <c r="DW211" s="284"/>
    </row>
    <row r="212" spans="124:127" x14ac:dyDescent="0.25">
      <c r="DT212" s="284" t="s">
        <v>2</v>
      </c>
      <c r="DU212" s="285">
        <v>2513486886</v>
      </c>
      <c r="DV212" s="282">
        <v>1889977571</v>
      </c>
      <c r="DW212" s="284"/>
    </row>
    <row r="213" spans="124:127" x14ac:dyDescent="0.25">
      <c r="DU213" s="280"/>
    </row>
    <row r="264" spans="4:29" x14ac:dyDescent="0.25">
      <c r="D264" s="279" t="s">
        <v>571</v>
      </c>
      <c r="E264" s="279"/>
      <c r="F264" s="279"/>
      <c r="G264" s="279"/>
      <c r="H264" s="279"/>
      <c r="I264" s="279"/>
      <c r="J264" s="279"/>
      <c r="K264" s="279"/>
      <c r="L264" s="279"/>
      <c r="M264" s="279"/>
      <c r="N264" s="279"/>
      <c r="O264" s="279"/>
      <c r="P264" s="279"/>
      <c r="Q264" s="279"/>
      <c r="R264" s="279"/>
      <c r="S264" s="279"/>
      <c r="T264" s="279"/>
      <c r="U264" s="279"/>
      <c r="V264" s="279"/>
      <c r="W264" s="279"/>
      <c r="X264" s="279"/>
      <c r="Y264" s="279"/>
      <c r="Z264" s="279"/>
      <c r="AA264" s="279"/>
      <c r="AB264" s="279"/>
      <c r="AC264" s="279"/>
    </row>
    <row r="265" spans="4:29" x14ac:dyDescent="0.25">
      <c r="D265" s="185" t="s">
        <v>555</v>
      </c>
      <c r="E265" s="185" t="s">
        <v>573</v>
      </c>
      <c r="F265" s="185" t="s">
        <v>581</v>
      </c>
      <c r="G265" s="185" t="s">
        <v>572</v>
      </c>
      <c r="H265" s="185"/>
      <c r="I265" s="185"/>
      <c r="J265" s="185"/>
      <c r="K265" s="185"/>
      <c r="L265" s="185"/>
      <c r="M265" s="185" t="s">
        <v>574</v>
      </c>
      <c r="N265" s="185"/>
      <c r="O265" s="185"/>
      <c r="P265" s="185"/>
      <c r="Q265" s="185"/>
      <c r="R265" s="185"/>
      <c r="S265" s="185"/>
      <c r="T265" s="185"/>
      <c r="U265" s="185"/>
      <c r="V265" s="185"/>
      <c r="W265" s="185"/>
      <c r="X265" s="185" t="s">
        <v>575</v>
      </c>
      <c r="Y265" s="185" t="s">
        <v>576</v>
      </c>
      <c r="Z265" s="185" t="s">
        <v>577</v>
      </c>
      <c r="AA265" s="185"/>
      <c r="AB265" s="185"/>
      <c r="AC265" s="185" t="s">
        <v>574</v>
      </c>
    </row>
    <row r="266" spans="4:29" x14ac:dyDescent="0.25">
      <c r="D266" s="186" t="s">
        <v>518</v>
      </c>
      <c r="E266" s="187">
        <v>0.31840000000000002</v>
      </c>
      <c r="F266" s="187">
        <v>0.41439434607136599</v>
      </c>
      <c r="G266" s="187">
        <v>0.2147</v>
      </c>
      <c r="H266" s="186"/>
      <c r="I266" s="186"/>
      <c r="J266" s="186"/>
      <c r="K266" s="186"/>
      <c r="L266" s="186"/>
      <c r="M266" s="187">
        <f>F266-E266</f>
        <v>9.5994346071365977E-2</v>
      </c>
      <c r="N266" s="186"/>
      <c r="O266" s="186"/>
      <c r="P266" s="186"/>
      <c r="Q266" s="186"/>
      <c r="R266" s="186"/>
      <c r="S266" s="186"/>
      <c r="T266" s="186"/>
      <c r="U266" s="186"/>
      <c r="V266" s="186"/>
      <c r="W266" s="186"/>
      <c r="X266" s="188">
        <v>8.111822761423336E-2</v>
      </c>
      <c r="Y266" s="187">
        <v>0.18040323244582565</v>
      </c>
      <c r="Z266" s="189">
        <v>20.77</v>
      </c>
      <c r="AA266" s="186"/>
      <c r="AB266" s="186"/>
      <c r="AC266" s="187">
        <v>7.0000000000000001E-3</v>
      </c>
    </row>
    <row r="267" spans="4:29" x14ac:dyDescent="0.25">
      <c r="D267" s="186" t="s">
        <v>423</v>
      </c>
      <c r="E267" s="187">
        <v>0.45989999999999998</v>
      </c>
      <c r="F267" s="187">
        <v>0.48065536661839064</v>
      </c>
      <c r="G267" s="187">
        <v>0.4083</v>
      </c>
      <c r="H267" s="186"/>
      <c r="I267" s="186"/>
      <c r="J267" s="186"/>
      <c r="K267" s="186"/>
      <c r="L267" s="186"/>
      <c r="M267" s="187">
        <f>F267-E267</f>
        <v>2.0755366618390669E-2</v>
      </c>
      <c r="N267" s="186"/>
      <c r="O267" s="186"/>
      <c r="P267" s="186"/>
      <c r="Q267" s="186"/>
      <c r="R267" s="186"/>
      <c r="S267" s="186"/>
      <c r="T267" s="186"/>
      <c r="U267" s="186"/>
      <c r="V267" s="186"/>
      <c r="W267" s="186"/>
      <c r="X267" s="188">
        <v>0.22310118724265898</v>
      </c>
      <c r="Y267" s="187">
        <v>0.32215860446570477</v>
      </c>
      <c r="Z267" s="189">
        <v>32.64</v>
      </c>
      <c r="AA267" s="186"/>
      <c r="AB267" s="186"/>
      <c r="AC267" s="187">
        <v>8.1900000000000001E-2</v>
      </c>
    </row>
    <row r="268" spans="4:29" x14ac:dyDescent="0.25">
      <c r="D268" s="186" t="s">
        <v>578</v>
      </c>
      <c r="E268" s="187">
        <v>0.48080000000000001</v>
      </c>
      <c r="F268" s="187">
        <v>0.55390320722948605</v>
      </c>
      <c r="G268" s="187">
        <v>0.38629999999999998</v>
      </c>
      <c r="H268" s="186"/>
      <c r="I268" s="186"/>
      <c r="J268" s="186"/>
      <c r="K268" s="186"/>
      <c r="L268" s="186"/>
      <c r="M268" s="187">
        <f>F268-E268</f>
        <v>7.3103207229486045E-2</v>
      </c>
      <c r="N268" s="186"/>
      <c r="O268" s="186"/>
      <c r="P268" s="186"/>
      <c r="Q268" s="186"/>
      <c r="R268" s="186"/>
      <c r="S268" s="186"/>
      <c r="T268" s="186"/>
      <c r="U268" s="186"/>
      <c r="V268" s="186"/>
      <c r="W268" s="186"/>
      <c r="X268" s="188">
        <v>0.18101588262876894</v>
      </c>
      <c r="Y268" s="187">
        <v>0.26952529693327892</v>
      </c>
      <c r="Z268" s="189">
        <v>34.11</v>
      </c>
      <c r="AA268" s="186"/>
      <c r="AB268" s="186"/>
      <c r="AC268" s="187">
        <v>4.5199999999999997E-2</v>
      </c>
    </row>
    <row r="269" spans="4:29" x14ac:dyDescent="0.25">
      <c r="D269" s="186" t="s">
        <v>579</v>
      </c>
      <c r="E269" s="187">
        <v>0.68600000000000005</v>
      </c>
      <c r="F269" s="187">
        <v>0.75193452630570046</v>
      </c>
      <c r="G269" s="187">
        <v>0.65500000000000003</v>
      </c>
      <c r="H269" s="186"/>
      <c r="I269" s="186"/>
      <c r="J269" s="186"/>
      <c r="K269" s="186"/>
      <c r="L269" s="186"/>
      <c r="M269" s="187">
        <f>F269-E269</f>
        <v>6.5934526305700403E-2</v>
      </c>
      <c r="N269" s="186"/>
      <c r="O269" s="186"/>
      <c r="P269" s="186"/>
      <c r="Q269" s="186"/>
      <c r="R269" s="186"/>
      <c r="S269" s="186"/>
      <c r="T269" s="186"/>
      <c r="U269" s="186"/>
      <c r="V269" s="186"/>
      <c r="W269" s="186"/>
      <c r="X269" s="188">
        <v>0.2183665793345527</v>
      </c>
      <c r="Y269" s="187">
        <v>0.60428087840825928</v>
      </c>
      <c r="Z269" s="189">
        <v>66.25</v>
      </c>
      <c r="AA269" s="186"/>
      <c r="AB269" s="186"/>
      <c r="AC269" s="187">
        <v>-7.4999999999999997E-3</v>
      </c>
    </row>
    <row r="270" spans="4:29" x14ac:dyDescent="0.25">
      <c r="D270" s="186" t="s">
        <v>164</v>
      </c>
      <c r="E270" s="187">
        <v>0.34739999999999999</v>
      </c>
      <c r="F270" s="187">
        <v>0.37482176358773756</v>
      </c>
      <c r="G270" s="187">
        <v>0.25090000000000001</v>
      </c>
      <c r="H270" s="186"/>
      <c r="I270" s="186"/>
      <c r="J270" s="186"/>
      <c r="K270" s="186"/>
      <c r="L270" s="186"/>
      <c r="M270" s="187">
        <f t="shared" ref="M270" si="353">F270-E270</f>
        <v>2.7421763587737569E-2</v>
      </c>
      <c r="N270" s="186"/>
      <c r="O270" s="186"/>
      <c r="P270" s="186"/>
      <c r="Q270" s="186"/>
      <c r="R270" s="186"/>
      <c r="S270" s="186"/>
      <c r="T270" s="186"/>
      <c r="U270" s="186"/>
      <c r="V270" s="186"/>
      <c r="W270" s="186"/>
      <c r="X270" s="188">
        <v>3.0112468306268254E-2</v>
      </c>
      <c r="Y270" s="187">
        <v>5.2048280772802713E-2</v>
      </c>
      <c r="Z270" s="189">
        <v>11.04</v>
      </c>
      <c r="AA270" s="186"/>
      <c r="AB270" s="186"/>
      <c r="AC270" s="187">
        <v>0.14050000000000001</v>
      </c>
    </row>
    <row r="271" spans="4:29" x14ac:dyDescent="0.25">
      <c r="D271" s="190" t="s">
        <v>580</v>
      </c>
      <c r="E271" s="187">
        <v>0.42409999999999998</v>
      </c>
      <c r="F271" s="187">
        <v>0.46431963694159117</v>
      </c>
      <c r="G271" s="191">
        <v>0.34549999999999997</v>
      </c>
      <c r="H271" s="192"/>
      <c r="I271" s="192"/>
      <c r="J271" s="192"/>
      <c r="K271" s="192"/>
      <c r="L271" s="192"/>
      <c r="M271" s="187">
        <f>F271-E271</f>
        <v>4.0219636941591197E-2</v>
      </c>
      <c r="N271" s="192"/>
      <c r="O271" s="192"/>
      <c r="P271" s="192"/>
      <c r="Q271" s="192"/>
      <c r="R271" s="192"/>
      <c r="S271" s="192"/>
      <c r="T271" s="192"/>
      <c r="U271" s="192"/>
      <c r="V271" s="192"/>
      <c r="W271" s="192"/>
      <c r="X271" s="193">
        <v>8.6592865575989497E-2</v>
      </c>
      <c r="Y271" s="191">
        <v>0.15439348833852243</v>
      </c>
      <c r="Z271" s="191">
        <v>0.21110000000000001</v>
      </c>
      <c r="AA271" s="193"/>
      <c r="AB271" s="193"/>
      <c r="AC271" s="187">
        <v>0.13439999999999999</v>
      </c>
    </row>
  </sheetData>
  <mergeCells count="230">
    <mergeCell ref="B183:E183"/>
    <mergeCell ref="B184:E184"/>
    <mergeCell ref="B185:E185"/>
    <mergeCell ref="B186:E186"/>
    <mergeCell ref="B187:E187"/>
    <mergeCell ref="D264:AC264"/>
    <mergeCell ref="B177:E177"/>
    <mergeCell ref="B178:E178"/>
    <mergeCell ref="B179:E179"/>
    <mergeCell ref="B180:E180"/>
    <mergeCell ref="B181:E181"/>
    <mergeCell ref="B182:E182"/>
    <mergeCell ref="B171:E171"/>
    <mergeCell ref="B172:E172"/>
    <mergeCell ref="B173:E173"/>
    <mergeCell ref="B174:E174"/>
    <mergeCell ref="B175:E175"/>
    <mergeCell ref="B176:E176"/>
    <mergeCell ref="B165:E165"/>
    <mergeCell ref="B166:E166"/>
    <mergeCell ref="B167:E167"/>
    <mergeCell ref="B168:E168"/>
    <mergeCell ref="B169:E169"/>
    <mergeCell ref="B170:E170"/>
    <mergeCell ref="B159:E159"/>
    <mergeCell ref="B160:E160"/>
    <mergeCell ref="B161:E161"/>
    <mergeCell ref="B162:E162"/>
    <mergeCell ref="B163:E163"/>
    <mergeCell ref="B164:E164"/>
    <mergeCell ref="B153:E153"/>
    <mergeCell ref="B154:E154"/>
    <mergeCell ref="B155:E155"/>
    <mergeCell ref="B156:E156"/>
    <mergeCell ref="B157:E157"/>
    <mergeCell ref="B158:E158"/>
    <mergeCell ref="B147:E147"/>
    <mergeCell ref="B148:E148"/>
    <mergeCell ref="B149:E149"/>
    <mergeCell ref="B150:E150"/>
    <mergeCell ref="B151:E151"/>
    <mergeCell ref="B152:E152"/>
    <mergeCell ref="B141:E141"/>
    <mergeCell ref="B142:E142"/>
    <mergeCell ref="B143:E143"/>
    <mergeCell ref="B144:E144"/>
    <mergeCell ref="B145:E145"/>
    <mergeCell ref="B146:E146"/>
    <mergeCell ref="B135:E135"/>
    <mergeCell ref="B136:E136"/>
    <mergeCell ref="B137:E137"/>
    <mergeCell ref="B138:E138"/>
    <mergeCell ref="B139:E139"/>
    <mergeCell ref="B140:E140"/>
    <mergeCell ref="B129:E129"/>
    <mergeCell ref="B130:E130"/>
    <mergeCell ref="B131:E131"/>
    <mergeCell ref="B132:E132"/>
    <mergeCell ref="B133:E133"/>
    <mergeCell ref="B134:E134"/>
    <mergeCell ref="B123:E123"/>
    <mergeCell ref="B124:E124"/>
    <mergeCell ref="B125:E125"/>
    <mergeCell ref="B126:E126"/>
    <mergeCell ref="B127:E127"/>
    <mergeCell ref="B128:E128"/>
    <mergeCell ref="B117:E117"/>
    <mergeCell ref="B118:E118"/>
    <mergeCell ref="B119:E119"/>
    <mergeCell ref="B120:E120"/>
    <mergeCell ref="B121:E121"/>
    <mergeCell ref="B122:E122"/>
    <mergeCell ref="B111:E111"/>
    <mergeCell ref="B112:E112"/>
    <mergeCell ref="B113:E113"/>
    <mergeCell ref="B114:E114"/>
    <mergeCell ref="B115:E115"/>
    <mergeCell ref="B116:E116"/>
    <mergeCell ref="B105:E105"/>
    <mergeCell ref="B106:E106"/>
    <mergeCell ref="B107:E107"/>
    <mergeCell ref="B108:E108"/>
    <mergeCell ref="B109:E109"/>
    <mergeCell ref="B110:E110"/>
    <mergeCell ref="B102:E102"/>
    <mergeCell ref="B103:E103"/>
    <mergeCell ref="B104:E104"/>
    <mergeCell ref="B93:E93"/>
    <mergeCell ref="B94:E94"/>
    <mergeCell ref="B95:E95"/>
    <mergeCell ref="B96:E96"/>
    <mergeCell ref="B97:E97"/>
    <mergeCell ref="B98:E98"/>
    <mergeCell ref="B75:E75"/>
    <mergeCell ref="B76:E76"/>
    <mergeCell ref="B77:E77"/>
    <mergeCell ref="B78:E78"/>
    <mergeCell ref="B79:E79"/>
    <mergeCell ref="B80:E80"/>
    <mergeCell ref="G184:G185"/>
    <mergeCell ref="C189:E189"/>
    <mergeCell ref="C199:D199"/>
    <mergeCell ref="B87:E87"/>
    <mergeCell ref="B88:E88"/>
    <mergeCell ref="B89:E89"/>
    <mergeCell ref="B90:E90"/>
    <mergeCell ref="B91:E91"/>
    <mergeCell ref="B92:E92"/>
    <mergeCell ref="B81:E81"/>
    <mergeCell ref="B82:E82"/>
    <mergeCell ref="B83:E83"/>
    <mergeCell ref="B84:E84"/>
    <mergeCell ref="B85:E85"/>
    <mergeCell ref="B86:E86"/>
    <mergeCell ref="B99:E99"/>
    <mergeCell ref="B100:E100"/>
    <mergeCell ref="B101:E101"/>
    <mergeCell ref="A122:A186"/>
    <mergeCell ref="G122:G123"/>
    <mergeCell ref="G124:G168"/>
    <mergeCell ref="G169:G176"/>
    <mergeCell ref="G178:G182"/>
    <mergeCell ref="B67:E67"/>
    <mergeCell ref="A68:A102"/>
    <mergeCell ref="G68:G73"/>
    <mergeCell ref="G74:G76"/>
    <mergeCell ref="G77:G88"/>
    <mergeCell ref="G89:G92"/>
    <mergeCell ref="G93:G94"/>
    <mergeCell ref="G95:G98"/>
    <mergeCell ref="G100:G102"/>
    <mergeCell ref="B74:E74"/>
    <mergeCell ref="B68:E68"/>
    <mergeCell ref="B69:E69"/>
    <mergeCell ref="B70:E70"/>
    <mergeCell ref="B71:E71"/>
    <mergeCell ref="B72:E72"/>
    <mergeCell ref="B73:E73"/>
    <mergeCell ref="A105:A120"/>
    <mergeCell ref="G105:G113"/>
    <mergeCell ref="G117:G119"/>
    <mergeCell ref="J30:J33"/>
    <mergeCell ref="K30:K33"/>
    <mergeCell ref="L30:L33"/>
    <mergeCell ref="B34:E34"/>
    <mergeCell ref="A35:A66"/>
    <mergeCell ref="G35:G37"/>
    <mergeCell ref="G38:G43"/>
    <mergeCell ref="G44:G47"/>
    <mergeCell ref="G48:G52"/>
    <mergeCell ref="G53:G55"/>
    <mergeCell ref="G56:G57"/>
    <mergeCell ref="G58:G59"/>
    <mergeCell ref="G61:G66"/>
    <mergeCell ref="K17:K21"/>
    <mergeCell ref="L17:L21"/>
    <mergeCell ref="G22:G23"/>
    <mergeCell ref="J22:J23"/>
    <mergeCell ref="G24:G26"/>
    <mergeCell ref="J24:J26"/>
    <mergeCell ref="K24:K26"/>
    <mergeCell ref="L24:L26"/>
    <mergeCell ref="A4:A33"/>
    <mergeCell ref="G4:G9"/>
    <mergeCell ref="J4:J9"/>
    <mergeCell ref="K4:K9"/>
    <mergeCell ref="L4:L9"/>
    <mergeCell ref="G10:G16"/>
    <mergeCell ref="J10:J16"/>
    <mergeCell ref="K10:K16"/>
    <mergeCell ref="G17:G21"/>
    <mergeCell ref="J17:J21"/>
    <mergeCell ref="G27:G29"/>
    <mergeCell ref="J27:J29"/>
    <mergeCell ref="K27:K29"/>
    <mergeCell ref="L27:L29"/>
    <mergeCell ref="B30:B33"/>
    <mergeCell ref="G30:G33"/>
    <mergeCell ref="DK1:DL2"/>
    <mergeCell ref="DM1:DN2"/>
    <mergeCell ref="DO1:DP2"/>
    <mergeCell ref="DQ1:DR2"/>
    <mergeCell ref="A2:A3"/>
    <mergeCell ref="B2:B3"/>
    <mergeCell ref="C2:C3"/>
    <mergeCell ref="D2:D3"/>
    <mergeCell ref="E2:E3"/>
    <mergeCell ref="F2:F3"/>
    <mergeCell ref="CY1:CZ2"/>
    <mergeCell ref="DA1:DB2"/>
    <mergeCell ref="DC1:DD2"/>
    <mergeCell ref="DE1:DF2"/>
    <mergeCell ref="DG1:DH2"/>
    <mergeCell ref="DI1:DJ2"/>
    <mergeCell ref="AY1:AZ2"/>
    <mergeCell ref="BA1:BB2"/>
    <mergeCell ref="BC1:BD2"/>
    <mergeCell ref="BE1:BF2"/>
    <mergeCell ref="CA1:CB2"/>
    <mergeCell ref="CW1:CX2"/>
    <mergeCell ref="AM1:AN2"/>
    <mergeCell ref="AO1:AP2"/>
    <mergeCell ref="AQ1:AR2"/>
    <mergeCell ref="AS1:AT2"/>
    <mergeCell ref="AU1:AV2"/>
    <mergeCell ref="AW1:AX2"/>
    <mergeCell ref="AD1:AD3"/>
    <mergeCell ref="AE1:AE3"/>
    <mergeCell ref="AF1:AF3"/>
    <mergeCell ref="AG1:AG3"/>
    <mergeCell ref="AI1:AJ2"/>
    <mergeCell ref="AK1:AL2"/>
    <mergeCell ref="AA1:AA3"/>
    <mergeCell ref="AB1:AB3"/>
    <mergeCell ref="AC1:AC3"/>
    <mergeCell ref="R1:R3"/>
    <mergeCell ref="S1:S3"/>
    <mergeCell ref="T1:T3"/>
    <mergeCell ref="U1:U3"/>
    <mergeCell ref="V1:V3"/>
    <mergeCell ref="W1:W3"/>
    <mergeCell ref="C1:F1"/>
    <mergeCell ref="M1:M3"/>
    <mergeCell ref="N1:N3"/>
    <mergeCell ref="O1:O3"/>
    <mergeCell ref="P1:P3"/>
    <mergeCell ref="Q1:Q3"/>
    <mergeCell ref="X1:X3"/>
    <mergeCell ref="Y1:Y3"/>
    <mergeCell ref="Z1:Z3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A 31 DE AGOSTO DE  2015
 RESOLUCION  193 DEL 28 DE AGOSTO DE 2015</oddHeader>
    <oddFooter>&amp;LUNIDAD DE PLANEAMIENTO ECONÓMICO Y ADMINISTRATIVO&amp;COFICINA DE PLANEACIÓN&amp;RPágina &amp;P de &amp;N</oddFooter>
  </headerFooter>
  <rowBreaks count="1" manualBreakCount="1">
    <brk id="3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P.ACCION A AGOSTO 2015</vt:lpstr>
      <vt:lpstr>P.ACCION A AGOSTO 2015 (2)</vt:lpstr>
      <vt:lpstr>P.ACCION-SUBSTEMA</vt:lpstr>
      <vt:lpstr>'P.ACCION A AGOSTO 2015'!Títulos_a_imprimir</vt:lpstr>
      <vt:lpstr>'P.ACCION A AGOSTO 2015 (2)'!Títulos_a_imprimir</vt:lpstr>
      <vt:lpstr>'P.ACCION-SUBSTEMA'!Títulos_a_imprimir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2015-09-07T21:31:13Z</dcterms:created>
  <dcterms:modified xsi:type="dcterms:W3CDTF">2015-09-10T23:27:47Z</dcterms:modified>
</cp:coreProperties>
</file>